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КанБайкал\231224 Б 1\"/>
    </mc:Choice>
  </mc:AlternateContent>
  <xr:revisionPtr revIDLastSave="0" documentId="13_ncr:1_{B24600B1-13B9-47F6-A810-E7CE1A6A323A}" xr6:coauthVersionLast="47" xr6:coauthVersionMax="47" xr10:uidLastSave="{00000000-0000-0000-0000-000000000000}"/>
  <bookViews>
    <workbookView xWindow="-110" yWindow="-110" windowWidth="25820" windowHeight="14020" tabRatio="939" xr2:uid="{00000000-000D-0000-FFFF-FFFF00000000}"/>
  </bookViews>
  <sheets>
    <sheet name="шлам по ГС" sheetId="3" r:id="rId1"/>
    <sheet name="шлам по ГС с пилотом" sheetId="8" r:id="rId2"/>
  </sheets>
  <definedNames>
    <definedName name="_xlnm.Print_Area" localSheetId="0">'шлам по ГС'!$A$1:$J$41</definedName>
  </definedNames>
  <calcPr calcId="191029"/>
  <customWorkbookViews>
    <customWorkbookView name="Бадерин Андрей Анатольевич - Личное представление" guid="{71F22708-936C-4634-8B1D-22DEBD5C6A0B}" mergeInterval="0" personalView="1" maximized="1" windowWidth="1920" windowHeight="985" tabRatio="939" activeSheetId="6"/>
    <customWorkbookView name="Вершинин Александр Владимирович - Личное представление" guid="{830F3E6B-FC87-4045-90BA-BBF43B57060B}" mergeInterval="0" personalView="1" maximized="1" windowWidth="1904" windowHeight="789" tabRatio="939" activeSheetId="6"/>
    <customWorkbookView name="KuimovaTV - Личное представление" guid="{897964B6-D19C-4D3B-956D-D56B5FC783A6}" mergeInterval="0" personalView="1" maximized="1" xWindow="1" yWindow="1" windowWidth="1916" windowHeight="807" tabRatio="939" activeSheetId="2"/>
    <customWorkbookView name="Фирсов Николай Васильевич - Личное представление" guid="{DF44A382-8F3F-415A-AD4F-6D7C0AF39FB8}" mergeInterval="0" personalView="1" maximized="1" windowWidth="1436" windowHeight="685" tabRatio="939" activeSheetId="1"/>
    <customWorkbookView name="Чвиркович Алексей Валерьевич - Личное представление" guid="{7E2DE00B-FC18-4E7F-BF5B-F41B982E543D}" mergeInterval="0" personalView="1" maximized="1" windowWidth="1276" windowHeight="799" tabRatio="939" activeSheetId="1"/>
    <customWorkbookView name="Гончаров Александр Владимирович - Личное представление" guid="{D7620105-0842-4335-8E12-27D8F4BB5620}" mergeInterval="0" personalView="1" maximized="1" windowWidth="1920" windowHeight="831" tabRatio="93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" l="1"/>
  <c r="K33" i="8" l="1"/>
  <c r="J37" i="8" l="1"/>
  <c r="J24" i="8"/>
  <c r="J28" i="8" s="1"/>
  <c r="I24" i="8"/>
  <c r="G24" i="8" l="1"/>
  <c r="F24" i="8"/>
  <c r="H17" i="8" l="1"/>
  <c r="I26" i="8"/>
  <c r="I29" i="8" l="1"/>
  <c r="I28" i="8"/>
  <c r="I27" i="8"/>
  <c r="I25" i="8" l="1"/>
  <c r="I36" i="8" l="1"/>
  <c r="I39" i="8"/>
  <c r="K38" i="8"/>
  <c r="H37" i="8"/>
  <c r="K34" i="8"/>
  <c r="K32" i="8"/>
  <c r="J27" i="8"/>
  <c r="H24" i="8"/>
  <c r="H27" i="8" s="1"/>
  <c r="G27" i="8"/>
  <c r="F26" i="8"/>
  <c r="G23" i="8"/>
  <c r="G30" i="8" s="1"/>
  <c r="K30" i="8" s="1"/>
  <c r="J17" i="8"/>
  <c r="J35" i="8" s="1"/>
  <c r="H35" i="8"/>
  <c r="G17" i="8"/>
  <c r="G35" i="8" s="1"/>
  <c r="K37" i="8" l="1"/>
  <c r="G26" i="8"/>
  <c r="F27" i="8"/>
  <c r="F25" i="8" s="1"/>
  <c r="K35" i="8"/>
  <c r="H29" i="8"/>
  <c r="K24" i="8"/>
  <c r="H26" i="8"/>
  <c r="H28" i="8"/>
  <c r="J29" i="8"/>
  <c r="G31" i="8"/>
  <c r="K31" i="8" s="1"/>
  <c r="J26" i="8"/>
  <c r="H35" i="3"/>
  <c r="K27" i="8" l="1"/>
  <c r="J25" i="8"/>
  <c r="H25" i="8"/>
  <c r="F36" i="8"/>
  <c r="K28" i="8"/>
  <c r="K29" i="8"/>
  <c r="G25" i="8"/>
  <c r="K26" i="8"/>
  <c r="I35" i="3"/>
  <c r="G21" i="3"/>
  <c r="H22" i="3"/>
  <c r="H36" i="8" l="1"/>
  <c r="H39" i="8" s="1"/>
  <c r="G36" i="8"/>
  <c r="G39" i="8" s="1"/>
  <c r="J36" i="8"/>
  <c r="J39" i="8" s="1"/>
  <c r="K25" i="8"/>
  <c r="F39" i="8"/>
  <c r="J35" i="3"/>
  <c r="J36" i="3"/>
  <c r="K36" i="8" l="1"/>
  <c r="K39" i="8" s="1"/>
  <c r="F22" i="3"/>
  <c r="H15" i="3"/>
  <c r="H33" i="3" s="1"/>
  <c r="G15" i="3"/>
  <c r="G33" i="3" s="1"/>
  <c r="I15" i="3"/>
  <c r="I33" i="3" s="1"/>
  <c r="J33" i="3" l="1"/>
  <c r="J31" i="3"/>
  <c r="J30" i="3" l="1"/>
  <c r="G22" i="3"/>
  <c r="G25" i="3" l="1"/>
  <c r="I22" i="3"/>
  <c r="J22" i="3" s="1"/>
  <c r="G24" i="3"/>
  <c r="F24" i="3"/>
  <c r="G28" i="3" l="1"/>
  <c r="J28" i="3" s="1"/>
  <c r="I25" i="3"/>
  <c r="F25" i="3"/>
  <c r="F23" i="3" s="1"/>
  <c r="H26" i="3"/>
  <c r="H27" i="3"/>
  <c r="G29" i="3"/>
  <c r="J29" i="3" s="1"/>
  <c r="H24" i="3"/>
  <c r="J24" i="3" s="1"/>
  <c r="H25" i="3"/>
  <c r="I24" i="3"/>
  <c r="I26" i="3"/>
  <c r="I27" i="3"/>
  <c r="F34" i="3" l="1"/>
  <c r="J25" i="3"/>
  <c r="I23" i="3"/>
  <c r="I34" i="3" s="1"/>
  <c r="J27" i="3"/>
  <c r="G23" i="3"/>
  <c r="H23" i="3"/>
  <c r="H34" i="3" s="1"/>
  <c r="J26" i="3"/>
  <c r="F37" i="3" l="1"/>
  <c r="J23" i="3"/>
  <c r="G34" i="3"/>
  <c r="J34" i="3" s="1"/>
  <c r="H37" i="3"/>
  <c r="I37" i="3"/>
  <c r="J37" i="3" l="1"/>
  <c r="G37" i="3"/>
</calcChain>
</file>

<file path=xl/sharedStrings.xml><?xml version="1.0" encoding="utf-8"?>
<sst xmlns="http://schemas.openxmlformats.org/spreadsheetml/2006/main" count="283" uniqueCount="96">
  <si>
    <t>Диаметр долота</t>
  </si>
  <si>
    <t>м</t>
  </si>
  <si>
    <t>-</t>
  </si>
  <si>
    <t>Буферная жидкость загрязненная цементом по окончании цементирования интервала</t>
  </si>
  <si>
    <t>Объем воды загрязненной цементным раствором (при промывке ЦА, цементировочных линий по окончанию цементирования интервала).</t>
  </si>
  <si>
    <t>Показатель</t>
  </si>
  <si>
    <t>обозначение</t>
  </si>
  <si>
    <t>Размерность</t>
  </si>
  <si>
    <t>Формула</t>
  </si>
  <si>
    <t>Направление</t>
  </si>
  <si>
    <t>Кондуктор</t>
  </si>
  <si>
    <t>Экс.колонна</t>
  </si>
  <si>
    <t>Хвостовик</t>
  </si>
  <si>
    <t>ИТОГО</t>
  </si>
  <si>
    <t>Дд</t>
  </si>
  <si>
    <t>Глубина</t>
  </si>
  <si>
    <t>L</t>
  </si>
  <si>
    <t>Наружный диаметр обсадн.колонны</t>
  </si>
  <si>
    <t>Внутренний диаметр обсадн.колонны</t>
  </si>
  <si>
    <t>Коэффицент кавернозности</t>
  </si>
  <si>
    <t>k</t>
  </si>
  <si>
    <t>м.куб.</t>
  </si>
  <si>
    <t>Vвпi</t>
  </si>
  <si>
    <t>Потери бурового раствора при очистке:</t>
  </si>
  <si>
    <t>Vпоi</t>
  </si>
  <si>
    <t>Vпоi = V поi1 + Vоi2 + Vпоi3+ Vпоi4</t>
  </si>
  <si>
    <t>1.виброситом</t>
  </si>
  <si>
    <t>V поi1</t>
  </si>
  <si>
    <t>V поi = 1,3*Vвпi*Е (=0,1)</t>
  </si>
  <si>
    <t>V  поi2</t>
  </si>
  <si>
    <t>V  поi3</t>
  </si>
  <si>
    <t>4. центрифугой</t>
  </si>
  <si>
    <t>V  поi4</t>
  </si>
  <si>
    <t>V поi = 3,0*К*Vвпi*Е (=0,9), К(=0,05)</t>
  </si>
  <si>
    <t>Vбжi</t>
  </si>
  <si>
    <t>Vводi</t>
  </si>
  <si>
    <t>Буровой раствор  загрязненный цементом (при разбуривании цементных стаканов)</t>
  </si>
  <si>
    <t>Vцемi</t>
  </si>
  <si>
    <t>Vбсв</t>
  </si>
  <si>
    <t>Vубр</t>
  </si>
  <si>
    <t>Vбо</t>
  </si>
  <si>
    <t xml:space="preserve">Vвп =0,785 *Дд^2*k*L*1,2                   </t>
  </si>
  <si>
    <t>V поi = 3,0*Vвпi*Е (=0,35)</t>
  </si>
  <si>
    <t>Vо.см. типа р-ра</t>
  </si>
  <si>
    <t xml:space="preserve">5. илоотделителем при бурении с глубины 500 м </t>
  </si>
  <si>
    <t>6. центрифугой при бурении с глубины 500 м</t>
  </si>
  <si>
    <t>№ п/п</t>
  </si>
  <si>
    <t>2. пескоотделителем</t>
  </si>
  <si>
    <t xml:space="preserve">3. илоотделителем </t>
  </si>
  <si>
    <t xml:space="preserve"> - </t>
  </si>
  <si>
    <t>Толщина стенки обсадной колонны</t>
  </si>
  <si>
    <t>Глубина головы хвостовика</t>
  </si>
  <si>
    <t>Vбур. инстр.</t>
  </si>
  <si>
    <t>Динстр</t>
  </si>
  <si>
    <t>Объём бурильного инструмента ТБПК</t>
  </si>
  <si>
    <t>Наружный диаметр инструмента</t>
  </si>
  <si>
    <t>Внутренний диаметр транспортной бурильной трубы</t>
  </si>
  <si>
    <t>Внутренний диаметр инструмента</t>
  </si>
  <si>
    <t>dвн.инст</t>
  </si>
  <si>
    <t>Vбр1</t>
  </si>
  <si>
    <t>Lг.х.</t>
  </si>
  <si>
    <t>dвн.т.</t>
  </si>
  <si>
    <t>dвн.к.</t>
  </si>
  <si>
    <t>Толщина стенки инструмента</t>
  </si>
  <si>
    <t>Lстен.к.</t>
  </si>
  <si>
    <t>Наружный диаметр транспортной  бурильной трубы</t>
  </si>
  <si>
    <t>Lстен</t>
  </si>
  <si>
    <t>Дн.к.</t>
  </si>
  <si>
    <t>Дн.т.</t>
  </si>
  <si>
    <r>
      <t>Vубр=Vпрод+Vцемр-ра - Vсвоб.ем., Vубр=((0,785*dвн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*Lок)+0,785* (Дд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*k-Дн.к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)*(Lок-Lконд+150)) - Vсвоб.ем.</t>
    </r>
  </si>
  <si>
    <r>
      <rPr>
        <sz val="11"/>
        <rFont val="Calibri"/>
        <family val="2"/>
        <charset val="204"/>
        <scheme val="minor"/>
      </rPr>
      <t>Vбур. инстр.=(Vбу</t>
    </r>
    <r>
      <rPr>
        <sz val="11"/>
        <color theme="1"/>
        <rFont val="Calibri"/>
        <family val="2"/>
        <charset val="204"/>
        <scheme val="minor"/>
      </rPr>
      <t>р.нарж.-Vбур.внутр.)*L</t>
    </r>
  </si>
  <si>
    <r>
      <t>Vо.см. типа раствора = Vскв. + Vбр</t>
    </r>
    <r>
      <rPr>
        <sz val="11"/>
        <rFont val="Calibri"/>
        <family val="2"/>
        <charset val="204"/>
        <scheme val="minor"/>
      </rPr>
      <t>1 - Vбур. инстр.</t>
    </r>
  </si>
  <si>
    <t>V поi = 1,02*Vвпi*Е (=0,2)</t>
  </si>
  <si>
    <t xml:space="preserve">Vбо =Vвпi+Vпоi+Vбжi+Vводi+Vцемi+ Vо.см.типа р.+Vо.осв+ Vбсв+Vубр+Vубр.х.+ Vубр тв.ф </t>
  </si>
  <si>
    <t>Общий объем бурового раствора на поверхности в рабочих емкостях после цементажа обсадной колонны (согласно акта супервайзера под указанный интервал)</t>
  </si>
  <si>
    <t>Объём выбуренной породы (буровых отходов) в интервале с коэффициентом разуплотнения 1,2</t>
  </si>
  <si>
    <t>Секция под кондуктор с глубины 500 м до забоя. Объём выбуренной породы (буровых отходов) в интервале с коэффициентом разуплотнения 1,2</t>
  </si>
  <si>
    <r>
      <t>Итого объем</t>
    </r>
    <r>
      <rPr>
        <sz val="11"/>
        <rFont val="Calibri"/>
        <family val="2"/>
        <charset val="204"/>
        <scheme val="minor"/>
      </rPr>
      <t xml:space="preserve"> буровых отходов</t>
    </r>
    <r>
      <rPr>
        <sz val="11"/>
        <color theme="1"/>
        <rFont val="Calibri"/>
        <family val="2"/>
        <charset val="204"/>
        <scheme val="minor"/>
      </rPr>
      <t xml:space="preserve">  в процессе строительства скважины</t>
    </r>
  </si>
  <si>
    <t>Примечание:</t>
  </si>
  <si>
    <t>1. Ячейки выделенные зеленой заливкой по каждой скважине заполняются индивидуально.</t>
  </si>
  <si>
    <t>Принимаем для направления -3м,  кондуктора -5м, пром.колонны-5м                                                 const</t>
  </si>
  <si>
    <t>Принимаем для направления -50м, кондуктора -50м, пром.колонны-50м.  const</t>
  </si>
  <si>
    <t>Принимаем для направления -10м,  кондуктора -20м, пром.колонны-20м                                                 const</t>
  </si>
  <si>
    <t>Объём утилизируемого бурового раствора при замене одного типа бурового раствора на другой</t>
  </si>
  <si>
    <t>Vосл.</t>
  </si>
  <si>
    <t>Vбсв =0,5* Vпоi</t>
  </si>
  <si>
    <t>Объем утилизируемого бурового раствора (который образуется в процессе осложнений и аварий)</t>
  </si>
  <si>
    <t>Объём буровых сточных вод (БСВ) при бурении скважины</t>
  </si>
  <si>
    <t>Объем утилизируемого бурового раствора (который образуется в процессе цементирования экс.колонны и перевода скважины на тех.воду после спуска хвостовика)</t>
  </si>
  <si>
    <t>к Методическим указаниям по определению объемов ОБР, БСВ и БШ при строительстве скважин (версия 1.0)</t>
  </si>
  <si>
    <t>Типовой расчет по горизонтальной скважине</t>
  </si>
  <si>
    <t>Типовой расчет по горизонтальной скважине с пилотным стволом</t>
  </si>
  <si>
    <t>Глубина начала срезки с цементного моста изолирующего пилотный ствол</t>
  </si>
  <si>
    <t xml:space="preserve"> -</t>
  </si>
  <si>
    <t>Пилоотный ствол (длина)</t>
  </si>
  <si>
    <t>Приложение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</si>
</sst>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1"/>
      <color indexed="1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0000FF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/>
    <xf numFmtId="0" fontId="0" fillId="0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166" fontId="0" fillId="3" borderId="7" xfId="0" applyNumberForma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164" fontId="0" fillId="4" borderId="4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6" fontId="0" fillId="0" borderId="4" xfId="0" applyNumberFormat="1" applyFill="1" applyBorder="1" applyAlignment="1">
      <alignment horizontal="center" vertical="center"/>
    </xf>
    <xf numFmtId="165" fontId="0" fillId="4" borderId="8" xfId="0" applyNumberFormat="1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left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2" fontId="17" fillId="4" borderId="13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20" fillId="2" borderId="1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7" fontId="0" fillId="4" borderId="4" xfId="0" applyNumberFormat="1" applyFill="1" applyBorder="1" applyAlignment="1">
      <alignment horizontal="center" vertical="center"/>
    </xf>
    <xf numFmtId="167" fontId="0" fillId="4" borderId="8" xfId="0" applyNumberForma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view="pageBreakPreview" zoomScaleNormal="70" zoomScaleSheetLayoutView="100" workbookViewId="0">
      <selection activeCell="B4" sqref="B4"/>
    </sheetView>
  </sheetViews>
  <sheetFormatPr defaultColWidth="9" defaultRowHeight="14.5" x14ac:dyDescent="0.35"/>
  <cols>
    <col min="1" max="1" width="5.54296875" style="1" customWidth="1"/>
    <col min="2" max="2" width="47.54296875" style="1" customWidth="1"/>
    <col min="3" max="3" width="9.54296875" style="1" customWidth="1"/>
    <col min="4" max="4" width="9" style="1"/>
    <col min="5" max="5" width="32.7265625" style="2" customWidth="1"/>
    <col min="6" max="6" width="13.54296875" style="3" customWidth="1"/>
    <col min="7" max="7" width="11.81640625" style="3" customWidth="1"/>
    <col min="8" max="8" width="13.453125" style="3" customWidth="1"/>
    <col min="9" max="9" width="10.7265625" style="3" customWidth="1"/>
    <col min="10" max="10" width="29.54296875" style="3" customWidth="1"/>
    <col min="11" max="16384" width="9" style="1"/>
  </cols>
  <sheetData>
    <row r="1" spans="1:10" ht="16.5" x14ac:dyDescent="0.35">
      <c r="F1" s="97" t="s">
        <v>95</v>
      </c>
      <c r="G1" s="97"/>
      <c r="H1" s="97"/>
      <c r="I1" s="97"/>
      <c r="J1" s="97"/>
    </row>
    <row r="2" spans="1:10" ht="21" x14ac:dyDescent="0.35">
      <c r="J2" s="87"/>
    </row>
    <row r="3" spans="1:10" ht="20" x14ac:dyDescent="0.35">
      <c r="E3" s="88" t="s">
        <v>90</v>
      </c>
      <c r="J3" s="31"/>
    </row>
    <row r="4" spans="1:10" ht="18" customHeight="1" x14ac:dyDescent="0.35">
      <c r="A4" s="32"/>
      <c r="B4" s="31"/>
      <c r="C4" s="32"/>
      <c r="D4" s="31"/>
      <c r="E4" s="86"/>
      <c r="F4" s="31"/>
      <c r="G4" s="31"/>
      <c r="H4" s="31"/>
      <c r="I4" s="31"/>
      <c r="J4" s="1"/>
    </row>
    <row r="5" spans="1:10" ht="16.5" customHeight="1" thickBot="1" x14ac:dyDescent="0.4">
      <c r="A5" s="73"/>
      <c r="C5" s="3"/>
      <c r="D5" s="3"/>
      <c r="E5" s="3"/>
    </row>
    <row r="6" spans="1:10" s="2" customFormat="1" ht="37.5" customHeight="1" x14ac:dyDescent="0.35">
      <c r="A6" s="26" t="s">
        <v>46</v>
      </c>
      <c r="B6" s="30" t="s">
        <v>5</v>
      </c>
      <c r="C6" s="25" t="s">
        <v>6</v>
      </c>
      <c r="D6" s="25" t="s">
        <v>7</v>
      </c>
      <c r="E6" s="25" t="s">
        <v>8</v>
      </c>
      <c r="F6" s="27" t="s">
        <v>9</v>
      </c>
      <c r="G6" s="27" t="s">
        <v>10</v>
      </c>
      <c r="H6" s="27" t="s">
        <v>11</v>
      </c>
      <c r="I6" s="28" t="s">
        <v>12</v>
      </c>
      <c r="J6" s="29" t="s">
        <v>13</v>
      </c>
    </row>
    <row r="7" spans="1:10" ht="23.25" customHeight="1" x14ac:dyDescent="0.35">
      <c r="A7" s="4">
        <v>1</v>
      </c>
      <c r="B7" s="33" t="s">
        <v>0</v>
      </c>
      <c r="C7" s="34" t="s">
        <v>14</v>
      </c>
      <c r="D7" s="34" t="s">
        <v>1</v>
      </c>
      <c r="E7" s="24"/>
      <c r="F7" s="94">
        <v>0.39369999999999999</v>
      </c>
      <c r="G7" s="94">
        <v>0.29530000000000001</v>
      </c>
      <c r="H7" s="94">
        <v>0.22070000000000001</v>
      </c>
      <c r="I7" s="95">
        <v>0.14599999999999999</v>
      </c>
      <c r="J7" s="52"/>
    </row>
    <row r="8" spans="1:10" ht="23.25" customHeight="1" x14ac:dyDescent="0.35">
      <c r="A8" s="4">
        <v>2</v>
      </c>
      <c r="B8" s="33" t="s">
        <v>15</v>
      </c>
      <c r="C8" s="34" t="s">
        <v>16</v>
      </c>
      <c r="D8" s="34" t="s">
        <v>1</v>
      </c>
      <c r="E8" s="24"/>
      <c r="F8" s="49">
        <v>60</v>
      </c>
      <c r="G8" s="49">
        <v>1100</v>
      </c>
      <c r="H8" s="49">
        <v>3500</v>
      </c>
      <c r="I8" s="55">
        <v>4400</v>
      </c>
      <c r="J8" s="52"/>
    </row>
    <row r="9" spans="1:10" s="6" customFormat="1" ht="23.25" customHeight="1" x14ac:dyDescent="0.35">
      <c r="A9" s="4">
        <v>3</v>
      </c>
      <c r="B9" s="33" t="s">
        <v>51</v>
      </c>
      <c r="C9" s="34" t="s">
        <v>60</v>
      </c>
      <c r="D9" s="34" t="s">
        <v>1</v>
      </c>
      <c r="E9" s="24"/>
      <c r="F9" s="53" t="s">
        <v>49</v>
      </c>
      <c r="G9" s="53" t="s">
        <v>49</v>
      </c>
      <c r="H9" s="53" t="s">
        <v>49</v>
      </c>
      <c r="I9" s="55">
        <v>3425</v>
      </c>
      <c r="J9" s="52"/>
    </row>
    <row r="10" spans="1:10" ht="23.25" customHeight="1" x14ac:dyDescent="0.35">
      <c r="A10" s="36">
        <v>4</v>
      </c>
      <c r="B10" s="33" t="s">
        <v>56</v>
      </c>
      <c r="C10" s="34" t="s">
        <v>61</v>
      </c>
      <c r="D10" s="34" t="s">
        <v>1</v>
      </c>
      <c r="E10" s="24"/>
      <c r="F10" s="53" t="s">
        <v>49</v>
      </c>
      <c r="G10" s="53" t="s">
        <v>49</v>
      </c>
      <c r="H10" s="53" t="s">
        <v>49</v>
      </c>
      <c r="I10" s="56">
        <v>7.2999999999999995E-2</v>
      </c>
      <c r="J10" s="52"/>
    </row>
    <row r="11" spans="1:10" ht="23.25" customHeight="1" x14ac:dyDescent="0.35">
      <c r="A11" s="36">
        <v>5</v>
      </c>
      <c r="B11" s="33" t="s">
        <v>65</v>
      </c>
      <c r="C11" s="34" t="s">
        <v>68</v>
      </c>
      <c r="D11" s="34" t="s">
        <v>1</v>
      </c>
      <c r="E11" s="24"/>
      <c r="F11" s="53" t="s">
        <v>49</v>
      </c>
      <c r="G11" s="53" t="s">
        <v>49</v>
      </c>
      <c r="H11" s="53" t="s">
        <v>49</v>
      </c>
      <c r="I11" s="56">
        <v>8.8999999999999996E-2</v>
      </c>
      <c r="J11" s="52"/>
    </row>
    <row r="12" spans="1:10" x14ac:dyDescent="0.35">
      <c r="A12" s="36">
        <v>6</v>
      </c>
      <c r="B12" s="33" t="s">
        <v>17</v>
      </c>
      <c r="C12" s="34" t="s">
        <v>67</v>
      </c>
      <c r="D12" s="34" t="s">
        <v>1</v>
      </c>
      <c r="E12" s="24"/>
      <c r="F12" s="35"/>
      <c r="G12" s="47">
        <v>0.245</v>
      </c>
      <c r="H12" s="47">
        <v>0.16800000000000001</v>
      </c>
      <c r="I12" s="56">
        <v>0.114</v>
      </c>
      <c r="J12" s="52"/>
    </row>
    <row r="13" spans="1:10" x14ac:dyDescent="0.35">
      <c r="A13" s="36">
        <v>7</v>
      </c>
      <c r="B13" s="33" t="s">
        <v>50</v>
      </c>
      <c r="C13" s="34" t="s">
        <v>64</v>
      </c>
      <c r="D13" s="34" t="s">
        <v>1</v>
      </c>
      <c r="E13" s="24"/>
      <c r="F13" s="35"/>
      <c r="G13" s="47">
        <v>8.0000000000000002E-3</v>
      </c>
      <c r="H13" s="47">
        <v>8.8999999999999999E-3</v>
      </c>
      <c r="I13" s="56">
        <v>7.4000000000000003E-3</v>
      </c>
      <c r="J13" s="52"/>
    </row>
    <row r="14" spans="1:10" x14ac:dyDescent="0.35">
      <c r="A14" s="36">
        <v>8</v>
      </c>
      <c r="B14" s="33" t="s">
        <v>18</v>
      </c>
      <c r="C14" s="34" t="s">
        <v>62</v>
      </c>
      <c r="D14" s="34" t="s">
        <v>1</v>
      </c>
      <c r="E14" s="24"/>
      <c r="F14" s="50"/>
      <c r="G14" s="47">
        <v>0.22919999999999999</v>
      </c>
      <c r="H14" s="47">
        <v>0.1502</v>
      </c>
      <c r="I14" s="56">
        <v>0.1</v>
      </c>
      <c r="J14" s="52"/>
    </row>
    <row r="15" spans="1:10" ht="29" x14ac:dyDescent="0.35">
      <c r="A15" s="36">
        <v>9</v>
      </c>
      <c r="B15" s="33" t="s">
        <v>54</v>
      </c>
      <c r="C15" s="24" t="s">
        <v>52</v>
      </c>
      <c r="D15" s="34" t="s">
        <v>21</v>
      </c>
      <c r="E15" s="24" t="s">
        <v>70</v>
      </c>
      <c r="F15" s="58"/>
      <c r="G15" s="13">
        <f>((0.785*G16*G16)-(0.785*(G16-G17*2)*(G16-G17*2)))*G8</f>
        <v>3.6681480000000013</v>
      </c>
      <c r="H15" s="13">
        <f>((0.785*H16*H16)-(0.785*(H16-H17*2)*(H16-H17*2)))*H8</f>
        <v>11.671380000000005</v>
      </c>
      <c r="I15" s="13">
        <f>((0.785*I11*I11)-(0.785*I10*I10))*H8</f>
        <v>7.1215199999999976</v>
      </c>
      <c r="J15" s="52"/>
    </row>
    <row r="16" spans="1:10" x14ac:dyDescent="0.35">
      <c r="A16" s="36">
        <v>10</v>
      </c>
      <c r="B16" s="33" t="s">
        <v>55</v>
      </c>
      <c r="C16" s="34" t="s">
        <v>53</v>
      </c>
      <c r="D16" s="34" t="s">
        <v>1</v>
      </c>
      <c r="E16" s="24"/>
      <c r="F16" s="35"/>
      <c r="G16" s="57">
        <v>0.127</v>
      </c>
      <c r="H16" s="57">
        <v>0.127</v>
      </c>
      <c r="I16" s="18"/>
      <c r="J16" s="52"/>
    </row>
    <row r="17" spans="1:12" x14ac:dyDescent="0.35">
      <c r="A17" s="36">
        <v>11</v>
      </c>
      <c r="B17" s="33" t="s">
        <v>63</v>
      </c>
      <c r="C17" s="34" t="s">
        <v>66</v>
      </c>
      <c r="D17" s="34" t="s">
        <v>1</v>
      </c>
      <c r="E17" s="24"/>
      <c r="F17" s="35"/>
      <c r="G17" s="57">
        <v>8.9999999999999993E-3</v>
      </c>
      <c r="H17" s="57">
        <v>8.9999999999999993E-3</v>
      </c>
      <c r="I17" s="18"/>
      <c r="J17" s="52"/>
    </row>
    <row r="18" spans="1:12" x14ac:dyDescent="0.35">
      <c r="A18" s="36">
        <v>12</v>
      </c>
      <c r="B18" s="33" t="s">
        <v>57</v>
      </c>
      <c r="C18" s="34" t="s">
        <v>58</v>
      </c>
      <c r="D18" s="34" t="s">
        <v>1</v>
      </c>
      <c r="E18" s="24"/>
      <c r="F18" s="35"/>
      <c r="G18" s="57">
        <v>0.109</v>
      </c>
      <c r="H18" s="57">
        <v>0.109</v>
      </c>
      <c r="I18" s="18"/>
      <c r="J18" s="52"/>
    </row>
    <row r="19" spans="1:12" ht="58" x14ac:dyDescent="0.35">
      <c r="A19" s="36">
        <v>13</v>
      </c>
      <c r="B19" s="33" t="s">
        <v>74</v>
      </c>
      <c r="C19" s="34" t="s">
        <v>59</v>
      </c>
      <c r="D19" s="34" t="s">
        <v>21</v>
      </c>
      <c r="E19" s="24"/>
      <c r="F19" s="35" t="s">
        <v>2</v>
      </c>
      <c r="G19" s="56">
        <v>120</v>
      </c>
      <c r="H19" s="56">
        <v>120</v>
      </c>
      <c r="I19" s="56">
        <v>120</v>
      </c>
      <c r="J19" s="52"/>
    </row>
    <row r="20" spans="1:12" x14ac:dyDescent="0.35">
      <c r="A20" s="36">
        <v>14</v>
      </c>
      <c r="B20" s="33" t="s">
        <v>19</v>
      </c>
      <c r="C20" s="34" t="s">
        <v>20</v>
      </c>
      <c r="D20" s="34"/>
      <c r="E20" s="24"/>
      <c r="F20" s="51">
        <v>1.3</v>
      </c>
      <c r="G20" s="51">
        <v>1.3</v>
      </c>
      <c r="H20" s="51">
        <v>1.3</v>
      </c>
      <c r="I20" s="51">
        <v>1.3</v>
      </c>
      <c r="J20" s="52"/>
    </row>
    <row r="21" spans="1:12" ht="43.5" x14ac:dyDescent="0.35">
      <c r="A21" s="36">
        <v>15</v>
      </c>
      <c r="B21" s="33" t="s">
        <v>76</v>
      </c>
      <c r="C21" s="34" t="s">
        <v>22</v>
      </c>
      <c r="D21" s="34" t="s">
        <v>21</v>
      </c>
      <c r="E21" s="24" t="s">
        <v>41</v>
      </c>
      <c r="F21" s="35">
        <v>0</v>
      </c>
      <c r="G21" s="35">
        <f>0.785*G7*G7*G20*((G8-F8)-500)*1.2</f>
        <v>57.665346883560005</v>
      </c>
      <c r="H21" s="35">
        <v>0</v>
      </c>
      <c r="I21" s="35">
        <v>0</v>
      </c>
      <c r="J21" s="17"/>
      <c r="K21" s="14"/>
      <c r="L21" s="14"/>
    </row>
    <row r="22" spans="1:12" ht="29" x14ac:dyDescent="0.35">
      <c r="A22" s="36">
        <v>16</v>
      </c>
      <c r="B22" s="33" t="s">
        <v>75</v>
      </c>
      <c r="C22" s="34" t="s">
        <v>22</v>
      </c>
      <c r="D22" s="34" t="s">
        <v>21</v>
      </c>
      <c r="E22" s="24" t="s">
        <v>41</v>
      </c>
      <c r="F22" s="35">
        <f>0.785*F7*F7*F20*F8*1.2</f>
        <v>11.388757222440002</v>
      </c>
      <c r="G22" s="35">
        <f>0.785*G7*G7*G20*(G8-F8)*1.2</f>
        <v>111.05918659056003</v>
      </c>
      <c r="H22" s="35">
        <f>0.785*H7*H7*H20*(H8-G8)*1.2</f>
        <v>143.15620044959999</v>
      </c>
      <c r="I22" s="35">
        <f>0.785*I7*I7*I20*(I8-H8)*1.2</f>
        <v>23.493216240000002</v>
      </c>
      <c r="J22" s="17">
        <f>SUM(F22:I22)</f>
        <v>289.0973605026</v>
      </c>
      <c r="K22" s="14"/>
      <c r="L22" s="14"/>
    </row>
    <row r="23" spans="1:12" ht="22.5" customHeight="1" x14ac:dyDescent="0.35">
      <c r="A23" s="36">
        <v>17</v>
      </c>
      <c r="B23" s="42" t="s">
        <v>23</v>
      </c>
      <c r="C23" s="43" t="s">
        <v>24</v>
      </c>
      <c r="D23" s="43" t="s">
        <v>21</v>
      </c>
      <c r="E23" s="44" t="s">
        <v>25</v>
      </c>
      <c r="F23" s="45">
        <f>F24+F25+F26+F27</f>
        <v>3.8038449122949611</v>
      </c>
      <c r="G23" s="45">
        <f>G24+G25+G26+G27+G28+G29</f>
        <v>105.42720437826566</v>
      </c>
      <c r="H23" s="45">
        <f>H24+H25+H26+H27</f>
        <v>217.45426848294238</v>
      </c>
      <c r="I23" s="45">
        <f>I24+I25+I26+I27</f>
        <v>35.686195468559994</v>
      </c>
      <c r="J23" s="40">
        <f t="shared" ref="J23:J36" si="0">SUM(F23:I23)</f>
        <v>362.37151324206303</v>
      </c>
      <c r="K23" s="14"/>
      <c r="L23" s="14"/>
    </row>
    <row r="24" spans="1:12" x14ac:dyDescent="0.35">
      <c r="A24" s="36">
        <v>18</v>
      </c>
      <c r="B24" s="46" t="s">
        <v>26</v>
      </c>
      <c r="C24" s="37" t="s">
        <v>27</v>
      </c>
      <c r="D24" s="37" t="s">
        <v>21</v>
      </c>
      <c r="E24" s="38" t="s">
        <v>28</v>
      </c>
      <c r="F24" s="39">
        <f>1.3*F22*0.1</f>
        <v>1.4805384389172005</v>
      </c>
      <c r="G24" s="39">
        <f>1.3*G22*0.1</f>
        <v>14.437694256772804</v>
      </c>
      <c r="H24" s="39">
        <f>1.3*H22*0.1</f>
        <v>18.610306058448</v>
      </c>
      <c r="I24" s="39">
        <f>1.3*I22*0.1</f>
        <v>3.0541181112000007</v>
      </c>
      <c r="J24" s="41">
        <f>SUM(F24:I24)</f>
        <v>37.582656865338002</v>
      </c>
      <c r="K24" s="14"/>
      <c r="L24" s="14"/>
    </row>
    <row r="25" spans="1:12" x14ac:dyDescent="0.35">
      <c r="A25" s="36">
        <v>19</v>
      </c>
      <c r="B25" s="46" t="s">
        <v>47</v>
      </c>
      <c r="C25" s="37" t="s">
        <v>29</v>
      </c>
      <c r="D25" s="37" t="s">
        <v>21</v>
      </c>
      <c r="E25" s="59" t="s">
        <v>72</v>
      </c>
      <c r="F25" s="39">
        <f>1.02*F22*0.2</f>
        <v>2.3233064733777606</v>
      </c>
      <c r="G25" s="39">
        <f>1.02*G22*0.2</f>
        <v>22.65607406447425</v>
      </c>
      <c r="H25" s="39">
        <f>1.02*H22*0.2</f>
        <v>29.2038648917184</v>
      </c>
      <c r="I25" s="39">
        <f>1.02*I22*0.2</f>
        <v>4.7926161129600002</v>
      </c>
      <c r="J25" s="41">
        <f t="shared" si="0"/>
        <v>58.975861542530403</v>
      </c>
      <c r="K25" s="14"/>
      <c r="L25" s="14"/>
    </row>
    <row r="26" spans="1:12" x14ac:dyDescent="0.35">
      <c r="A26" s="36">
        <v>20</v>
      </c>
      <c r="B26" s="46" t="s">
        <v>48</v>
      </c>
      <c r="C26" s="37" t="s">
        <v>30</v>
      </c>
      <c r="D26" s="37" t="s">
        <v>21</v>
      </c>
      <c r="E26" s="38" t="s">
        <v>42</v>
      </c>
      <c r="F26" s="39"/>
      <c r="G26" s="39"/>
      <c r="H26" s="39">
        <f>3*H22*0.35</f>
        <v>150.31401047207999</v>
      </c>
      <c r="I26" s="39">
        <f>3*I22*0.35</f>
        <v>24.667877051999998</v>
      </c>
      <c r="J26" s="41">
        <f t="shared" si="0"/>
        <v>174.98188752407998</v>
      </c>
      <c r="K26" s="14"/>
      <c r="L26" s="14"/>
    </row>
    <row r="27" spans="1:12" ht="15" customHeight="1" x14ac:dyDescent="0.35">
      <c r="A27" s="36">
        <v>21</v>
      </c>
      <c r="B27" s="46" t="s">
        <v>31</v>
      </c>
      <c r="C27" s="37" t="s">
        <v>32</v>
      </c>
      <c r="D27" s="37" t="s">
        <v>21</v>
      </c>
      <c r="E27" s="38" t="s">
        <v>33</v>
      </c>
      <c r="F27" s="39"/>
      <c r="G27" s="39"/>
      <c r="H27" s="39">
        <f>3*0.05*H22*0.9</f>
        <v>19.326087060696004</v>
      </c>
      <c r="I27" s="39">
        <f>3*0.05*I22*0.9</f>
        <v>3.1715841924000006</v>
      </c>
      <c r="J27" s="41">
        <f t="shared" si="0"/>
        <v>22.497671253096005</v>
      </c>
      <c r="K27" s="14"/>
      <c r="L27" s="14"/>
    </row>
    <row r="28" spans="1:12" x14ac:dyDescent="0.35">
      <c r="A28" s="36">
        <v>22</v>
      </c>
      <c r="B28" s="46" t="s">
        <v>44</v>
      </c>
      <c r="C28" s="37" t="s">
        <v>30</v>
      </c>
      <c r="D28" s="37" t="s">
        <v>21</v>
      </c>
      <c r="E28" s="38" t="s">
        <v>42</v>
      </c>
      <c r="F28" s="39"/>
      <c r="G28" s="39">
        <f>3*G21*0.35</f>
        <v>60.548614227738</v>
      </c>
      <c r="H28" s="39"/>
      <c r="I28" s="39"/>
      <c r="J28" s="41">
        <f t="shared" si="0"/>
        <v>60.548614227738</v>
      </c>
      <c r="K28" s="14"/>
      <c r="L28" s="14"/>
    </row>
    <row r="29" spans="1:12" ht="15" customHeight="1" x14ac:dyDescent="0.35">
      <c r="A29" s="36">
        <v>23</v>
      </c>
      <c r="B29" s="46" t="s">
        <v>45</v>
      </c>
      <c r="C29" s="37" t="s">
        <v>32</v>
      </c>
      <c r="D29" s="37" t="s">
        <v>21</v>
      </c>
      <c r="E29" s="38" t="s">
        <v>33</v>
      </c>
      <c r="F29" s="39"/>
      <c r="G29" s="39">
        <f>3*0.05*G21*0.9</f>
        <v>7.7848218292806015</v>
      </c>
      <c r="H29" s="39"/>
      <c r="I29" s="39"/>
      <c r="J29" s="41">
        <f t="shared" si="0"/>
        <v>7.7848218292806015</v>
      </c>
      <c r="K29" s="14"/>
      <c r="L29" s="14"/>
    </row>
    <row r="30" spans="1:12" ht="43.5" x14ac:dyDescent="0.35">
      <c r="A30" s="36">
        <v>24</v>
      </c>
      <c r="B30" s="33" t="s">
        <v>3</v>
      </c>
      <c r="C30" s="34" t="s">
        <v>34</v>
      </c>
      <c r="D30" s="34" t="s">
        <v>21</v>
      </c>
      <c r="E30" s="24" t="s">
        <v>82</v>
      </c>
      <c r="F30" s="13">
        <v>10</v>
      </c>
      <c r="G30" s="13">
        <v>20</v>
      </c>
      <c r="H30" s="13">
        <v>20</v>
      </c>
      <c r="I30" s="12">
        <v>0</v>
      </c>
      <c r="J30" s="17">
        <f t="shared" si="0"/>
        <v>50</v>
      </c>
      <c r="K30" s="14"/>
      <c r="L30" s="14"/>
    </row>
    <row r="31" spans="1:12" ht="43.5" x14ac:dyDescent="0.35">
      <c r="A31" s="36">
        <v>25</v>
      </c>
      <c r="B31" s="33" t="s">
        <v>4</v>
      </c>
      <c r="C31" s="34" t="s">
        <v>35</v>
      </c>
      <c r="D31" s="34" t="s">
        <v>21</v>
      </c>
      <c r="E31" s="24" t="s">
        <v>80</v>
      </c>
      <c r="F31" s="13">
        <v>3</v>
      </c>
      <c r="G31" s="13">
        <v>5</v>
      </c>
      <c r="H31" s="13">
        <v>5</v>
      </c>
      <c r="I31" s="12">
        <v>0</v>
      </c>
      <c r="J31" s="17">
        <f t="shared" si="0"/>
        <v>13</v>
      </c>
      <c r="K31" s="15"/>
      <c r="L31" s="15"/>
    </row>
    <row r="32" spans="1:12" ht="43.5" x14ac:dyDescent="0.35">
      <c r="A32" s="36">
        <v>26</v>
      </c>
      <c r="B32" s="33" t="s">
        <v>36</v>
      </c>
      <c r="C32" s="34" t="s">
        <v>37</v>
      </c>
      <c r="D32" s="34" t="s">
        <v>21</v>
      </c>
      <c r="E32" s="24" t="s">
        <v>81</v>
      </c>
      <c r="F32" s="13">
        <v>50</v>
      </c>
      <c r="G32" s="13">
        <v>50</v>
      </c>
      <c r="H32" s="13">
        <v>50</v>
      </c>
      <c r="I32" s="12">
        <v>0</v>
      </c>
      <c r="J32" s="17">
        <f>SUM(F32:I32)</f>
        <v>150</v>
      </c>
      <c r="K32" s="15"/>
      <c r="L32" s="15"/>
    </row>
    <row r="33" spans="1:21" ht="55.5" customHeight="1" x14ac:dyDescent="0.35">
      <c r="A33" s="36">
        <v>27</v>
      </c>
      <c r="B33" s="74" t="s">
        <v>83</v>
      </c>
      <c r="C33" s="75" t="s">
        <v>43</v>
      </c>
      <c r="D33" s="76" t="s">
        <v>21</v>
      </c>
      <c r="E33" s="75" t="s">
        <v>71</v>
      </c>
      <c r="F33" s="77" t="s">
        <v>2</v>
      </c>
      <c r="G33" s="77">
        <f>(0.785*G14*G14*G8)+G19-G15</f>
        <v>161.69378664000001</v>
      </c>
      <c r="H33" s="77">
        <f>(0.785*H14*H14*H8)+H19-H15</f>
        <v>170.31232990000001</v>
      </c>
      <c r="I33" s="77">
        <f>(0.785*I14*I14*I8)+I19-I15</f>
        <v>147.41848000000002</v>
      </c>
      <c r="J33" s="17">
        <f t="shared" si="0"/>
        <v>479.42459654000004</v>
      </c>
      <c r="K33" s="15"/>
      <c r="L33" s="15"/>
    </row>
    <row r="34" spans="1:21" ht="29" x14ac:dyDescent="0.35">
      <c r="A34" s="36">
        <v>28</v>
      </c>
      <c r="B34" s="33" t="s">
        <v>87</v>
      </c>
      <c r="C34" s="34" t="s">
        <v>38</v>
      </c>
      <c r="D34" s="34" t="s">
        <v>21</v>
      </c>
      <c r="E34" s="24" t="s">
        <v>85</v>
      </c>
      <c r="F34" s="13">
        <f>0.5*F23</f>
        <v>1.9019224561474806</v>
      </c>
      <c r="G34" s="13">
        <f t="shared" ref="G34:I34" si="1">0.5*G23</f>
        <v>52.713602189132828</v>
      </c>
      <c r="H34" s="13">
        <f t="shared" si="1"/>
        <v>108.72713424147119</v>
      </c>
      <c r="I34" s="13">
        <f t="shared" si="1"/>
        <v>17.843097734279997</v>
      </c>
      <c r="J34" s="17">
        <f>SUM(F34:I34)</f>
        <v>181.18575662103152</v>
      </c>
      <c r="K34" s="14"/>
      <c r="L34" s="14"/>
    </row>
    <row r="35" spans="1:21" s="16" customFormat="1" ht="62" x14ac:dyDescent="0.35">
      <c r="A35" s="36">
        <v>29</v>
      </c>
      <c r="B35" s="64" t="s">
        <v>88</v>
      </c>
      <c r="C35" s="65" t="s">
        <v>39</v>
      </c>
      <c r="D35" s="65" t="s">
        <v>21</v>
      </c>
      <c r="E35" s="66" t="s">
        <v>69</v>
      </c>
      <c r="F35" s="67" t="s">
        <v>2</v>
      </c>
      <c r="G35" s="67" t="s">
        <v>2</v>
      </c>
      <c r="H35" s="67">
        <f>0.785*(H7*H7*H20-H12*H12)*(H8-G8)+0.785*(G14*G14-H12*H12)*G8</f>
        <v>87.113328347999982</v>
      </c>
      <c r="I35" s="67">
        <f>((0.785*I14*I14*I8)+0.785*(I7*I7*I20-I12*I12)*(I8-H8+150))</f>
        <v>46.668673900000002</v>
      </c>
      <c r="J35" s="68">
        <f t="shared" si="0"/>
        <v>133.78200224799997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84" customFormat="1" ht="29.5" thickBot="1" x14ac:dyDescent="0.4">
      <c r="A36" s="78">
        <v>30</v>
      </c>
      <c r="B36" s="79" t="s">
        <v>86</v>
      </c>
      <c r="C36" s="80" t="s">
        <v>84</v>
      </c>
      <c r="D36" s="80" t="s">
        <v>21</v>
      </c>
      <c r="E36" s="81"/>
      <c r="F36" s="82"/>
      <c r="G36" s="82"/>
      <c r="H36" s="82"/>
      <c r="I36" s="82"/>
      <c r="J36" s="83">
        <f t="shared" si="0"/>
        <v>0</v>
      </c>
    </row>
    <row r="37" spans="1:21" ht="44" thickBot="1" x14ac:dyDescent="0.4">
      <c r="A37" s="36">
        <v>31</v>
      </c>
      <c r="B37" s="69" t="s">
        <v>77</v>
      </c>
      <c r="C37" s="70" t="s">
        <v>40</v>
      </c>
      <c r="D37" s="70" t="s">
        <v>21</v>
      </c>
      <c r="E37" s="71" t="s">
        <v>73</v>
      </c>
      <c r="F37" s="72">
        <f>SUM(F22:F23,F30:F36)</f>
        <v>80.094524590882429</v>
      </c>
      <c r="G37" s="72">
        <f>SUM(G22:G23,G30:G36)</f>
        <v>505.89377979795853</v>
      </c>
      <c r="H37" s="72">
        <f>SUM(H22:H23,H30:H36)</f>
        <v>801.76326142201356</v>
      </c>
      <c r="I37" s="72">
        <f>SUM(I22:I23,I30:I36)</f>
        <v>271.10966334284001</v>
      </c>
      <c r="J37" s="85">
        <f>SUM(J22,J23,J30:J36)</f>
        <v>1658.8612291536947</v>
      </c>
      <c r="K37" s="63"/>
      <c r="L37" s="14"/>
    </row>
    <row r="38" spans="1:21" x14ac:dyDescent="0.35">
      <c r="F38" s="5"/>
      <c r="G38" s="5"/>
      <c r="H38" s="5"/>
      <c r="I38" s="7"/>
      <c r="J38" s="5"/>
      <c r="K38" s="6"/>
      <c r="L38" s="6"/>
      <c r="M38" s="6"/>
    </row>
    <row r="39" spans="1:21" ht="18.5" x14ac:dyDescent="0.45">
      <c r="A39" s="61" t="s">
        <v>78</v>
      </c>
      <c r="B39" s="60"/>
      <c r="C39" s="20"/>
      <c r="D39" s="20"/>
      <c r="E39" s="21"/>
      <c r="F39" s="22"/>
      <c r="G39" s="22"/>
      <c r="H39" s="22"/>
      <c r="I39" s="23"/>
      <c r="J39" s="5"/>
      <c r="K39" s="6"/>
      <c r="L39" s="6"/>
      <c r="M39" s="6"/>
    </row>
    <row r="40" spans="1:21" ht="18" x14ac:dyDescent="0.35">
      <c r="A40" s="62" t="s">
        <v>79</v>
      </c>
      <c r="F40" s="5"/>
      <c r="G40" s="5"/>
      <c r="H40" s="5"/>
      <c r="I40" s="7"/>
      <c r="J40" s="5"/>
      <c r="K40" s="6"/>
      <c r="L40" s="6"/>
      <c r="M40" s="6"/>
    </row>
    <row r="41" spans="1:21" x14ac:dyDescent="0.35">
      <c r="F41" s="8"/>
      <c r="G41" s="8"/>
      <c r="H41" s="8"/>
      <c r="I41" s="10"/>
      <c r="J41" s="8"/>
      <c r="K41" s="6"/>
      <c r="L41" s="6"/>
      <c r="M41" s="6"/>
    </row>
    <row r="42" spans="1:21" x14ac:dyDescent="0.35">
      <c r="F42" s="8"/>
      <c r="G42" s="8"/>
      <c r="H42" s="8"/>
      <c r="I42" s="10"/>
      <c r="J42" s="8"/>
      <c r="K42" s="6"/>
      <c r="L42" s="6"/>
      <c r="M42" s="6"/>
    </row>
    <row r="43" spans="1:21" x14ac:dyDescent="0.35">
      <c r="F43" s="8"/>
      <c r="G43" s="8"/>
      <c r="H43" s="8"/>
      <c r="I43" s="10"/>
      <c r="J43" s="8"/>
      <c r="K43" s="6"/>
      <c r="L43" s="6"/>
      <c r="M43" s="6"/>
    </row>
    <row r="44" spans="1:21" x14ac:dyDescent="0.35">
      <c r="F44" s="8"/>
      <c r="G44" s="8"/>
      <c r="H44" s="8"/>
      <c r="I44" s="10"/>
      <c r="J44" s="8"/>
      <c r="K44" s="6"/>
      <c r="L44" s="6"/>
      <c r="M44" s="6"/>
    </row>
    <row r="45" spans="1:21" x14ac:dyDescent="0.35">
      <c r="F45" s="8"/>
      <c r="G45" s="8"/>
      <c r="H45" s="8"/>
      <c r="I45" s="10"/>
      <c r="J45" s="8"/>
      <c r="K45" s="6"/>
      <c r="L45" s="6"/>
      <c r="M45" s="6"/>
    </row>
    <row r="46" spans="1:21" x14ac:dyDescent="0.35">
      <c r="F46" s="8"/>
      <c r="G46" s="8"/>
      <c r="H46" s="8"/>
      <c r="I46" s="10"/>
      <c r="J46" s="8"/>
      <c r="K46" s="6"/>
      <c r="L46" s="6"/>
      <c r="M46" s="6"/>
    </row>
    <row r="47" spans="1:21" x14ac:dyDescent="0.35">
      <c r="F47" s="8"/>
      <c r="G47" s="8"/>
      <c r="H47" s="8"/>
      <c r="I47" s="10"/>
      <c r="J47" s="8"/>
      <c r="K47" s="6"/>
      <c r="L47" s="6"/>
      <c r="M47" s="6"/>
    </row>
    <row r="48" spans="1:21" x14ac:dyDescent="0.35">
      <c r="F48" s="8"/>
      <c r="G48" s="8"/>
      <c r="H48" s="8"/>
      <c r="I48" s="10"/>
      <c r="J48" s="8"/>
      <c r="K48" s="6"/>
      <c r="L48" s="6"/>
      <c r="M48" s="6"/>
    </row>
    <row r="49" spans="6:13" x14ac:dyDescent="0.35">
      <c r="F49" s="8"/>
      <c r="G49" s="8"/>
      <c r="H49" s="8"/>
      <c r="I49" s="10"/>
      <c r="J49" s="8"/>
      <c r="K49" s="6"/>
      <c r="L49" s="6"/>
      <c r="M49" s="6"/>
    </row>
    <row r="50" spans="6:13" x14ac:dyDescent="0.35">
      <c r="F50" s="8"/>
      <c r="G50" s="8"/>
      <c r="H50" s="8"/>
      <c r="I50" s="10"/>
      <c r="J50" s="8"/>
      <c r="K50" s="6"/>
      <c r="L50" s="6"/>
      <c r="M50" s="6"/>
    </row>
    <row r="51" spans="6:13" x14ac:dyDescent="0.35">
      <c r="F51" s="8"/>
      <c r="G51" s="8"/>
      <c r="H51" s="8"/>
      <c r="I51" s="10"/>
      <c r="J51" s="8"/>
      <c r="K51" s="6"/>
      <c r="L51" s="6"/>
      <c r="M51" s="6"/>
    </row>
    <row r="52" spans="6:13" x14ac:dyDescent="0.35">
      <c r="F52" s="8"/>
      <c r="G52" s="8"/>
      <c r="H52" s="8"/>
      <c r="I52" s="10"/>
      <c r="J52" s="8"/>
      <c r="K52" s="6"/>
      <c r="L52" s="6"/>
      <c r="M52" s="6"/>
    </row>
    <row r="53" spans="6:13" x14ac:dyDescent="0.35">
      <c r="F53" s="8"/>
      <c r="G53" s="8"/>
      <c r="H53" s="8"/>
      <c r="I53" s="10"/>
      <c r="J53" s="8"/>
      <c r="K53" s="6"/>
      <c r="L53" s="6"/>
      <c r="M53" s="6"/>
    </row>
    <row r="54" spans="6:13" x14ac:dyDescent="0.35">
      <c r="F54" s="8"/>
      <c r="G54" s="8"/>
      <c r="H54" s="8"/>
      <c r="I54" s="10"/>
      <c r="J54" s="8"/>
      <c r="K54" s="6"/>
      <c r="L54" s="6"/>
      <c r="M54" s="6"/>
    </row>
    <row r="55" spans="6:13" x14ac:dyDescent="0.35">
      <c r="F55" s="8"/>
      <c r="G55" s="8"/>
      <c r="H55" s="8"/>
      <c r="I55" s="10"/>
      <c r="J55" s="8"/>
      <c r="K55" s="6"/>
      <c r="L55" s="6"/>
      <c r="M55" s="6"/>
    </row>
    <row r="56" spans="6:13" x14ac:dyDescent="0.35">
      <c r="F56" s="8"/>
      <c r="G56" s="8"/>
      <c r="H56" s="8"/>
      <c r="I56" s="10"/>
      <c r="J56" s="8"/>
      <c r="K56" s="6"/>
      <c r="L56" s="6"/>
      <c r="M56" s="6"/>
    </row>
    <row r="57" spans="6:13" x14ac:dyDescent="0.35">
      <c r="F57" s="8"/>
      <c r="G57" s="8"/>
      <c r="H57" s="8"/>
      <c r="I57" s="10"/>
      <c r="J57" s="8"/>
      <c r="K57" s="6"/>
      <c r="L57" s="6"/>
      <c r="M57" s="6"/>
    </row>
    <row r="58" spans="6:13" x14ac:dyDescent="0.35">
      <c r="F58" s="8"/>
      <c r="G58" s="8"/>
      <c r="H58" s="8"/>
      <c r="I58" s="10"/>
      <c r="J58" s="8"/>
      <c r="K58" s="6"/>
      <c r="L58" s="6"/>
      <c r="M58" s="6"/>
    </row>
    <row r="59" spans="6:13" x14ac:dyDescent="0.35">
      <c r="F59" s="8"/>
      <c r="G59" s="8"/>
      <c r="H59" s="8"/>
      <c r="I59" s="10"/>
      <c r="J59" s="8"/>
      <c r="K59" s="6"/>
      <c r="L59" s="6"/>
      <c r="M59" s="6"/>
    </row>
    <row r="60" spans="6:13" x14ac:dyDescent="0.35">
      <c r="F60" s="8"/>
      <c r="G60" s="8"/>
      <c r="H60" s="8"/>
      <c r="I60" s="10"/>
      <c r="J60" s="8"/>
      <c r="K60" s="6"/>
      <c r="L60" s="6"/>
      <c r="M60" s="6"/>
    </row>
    <row r="61" spans="6:13" x14ac:dyDescent="0.35">
      <c r="F61" s="8"/>
      <c r="G61" s="8"/>
      <c r="H61" s="8"/>
      <c r="I61" s="10"/>
      <c r="J61" s="8"/>
      <c r="K61" s="6"/>
      <c r="L61" s="6"/>
      <c r="M61" s="6"/>
    </row>
    <row r="62" spans="6:13" x14ac:dyDescent="0.35">
      <c r="F62" s="8"/>
      <c r="G62" s="8"/>
      <c r="H62" s="8"/>
      <c r="I62" s="10"/>
      <c r="J62" s="8"/>
      <c r="K62" s="6"/>
      <c r="L62" s="6"/>
      <c r="M62" s="6"/>
    </row>
    <row r="63" spans="6:13" x14ac:dyDescent="0.35">
      <c r="F63" s="8"/>
      <c r="G63" s="8"/>
      <c r="H63" s="8"/>
      <c r="I63" s="9"/>
      <c r="J63" s="8"/>
      <c r="K63" s="11"/>
      <c r="L63" s="6"/>
      <c r="M63" s="6"/>
    </row>
    <row r="64" spans="6:13" x14ac:dyDescent="0.35">
      <c r="F64" s="8"/>
      <c r="G64" s="8"/>
      <c r="H64" s="8"/>
      <c r="I64" s="10"/>
      <c r="J64" s="8"/>
      <c r="K64" s="6"/>
      <c r="L64" s="6"/>
      <c r="M64" s="6"/>
    </row>
    <row r="65" spans="6:13" x14ac:dyDescent="0.35">
      <c r="F65" s="8"/>
      <c r="G65" s="8"/>
      <c r="H65" s="8"/>
      <c r="I65" s="10"/>
      <c r="J65" s="8"/>
      <c r="K65" s="6"/>
      <c r="L65" s="6"/>
      <c r="M65" s="6"/>
    </row>
    <row r="66" spans="6:13" x14ac:dyDescent="0.35">
      <c r="F66" s="8"/>
      <c r="G66" s="8"/>
      <c r="H66" s="8"/>
      <c r="I66" s="10"/>
      <c r="J66" s="8"/>
      <c r="K66" s="6"/>
      <c r="L66" s="6"/>
      <c r="M66" s="6"/>
    </row>
    <row r="67" spans="6:13" x14ac:dyDescent="0.35">
      <c r="F67" s="8"/>
      <c r="G67" s="8"/>
      <c r="H67" s="8"/>
      <c r="I67" s="10"/>
      <c r="J67" s="8"/>
      <c r="K67" s="6"/>
      <c r="L67" s="6"/>
      <c r="M67" s="6"/>
    </row>
    <row r="68" spans="6:13" x14ac:dyDescent="0.35">
      <c r="F68" s="8"/>
      <c r="G68" s="8"/>
      <c r="H68" s="8"/>
      <c r="I68" s="10"/>
      <c r="J68" s="8"/>
      <c r="K68" s="6"/>
      <c r="L68" s="6"/>
      <c r="M68" s="6"/>
    </row>
    <row r="69" spans="6:13" x14ac:dyDescent="0.35">
      <c r="F69" s="8"/>
      <c r="G69" s="8"/>
      <c r="H69" s="8"/>
      <c r="I69" s="10"/>
      <c r="J69" s="8"/>
      <c r="K69" s="6"/>
      <c r="L69" s="6"/>
      <c r="M69" s="6"/>
    </row>
    <row r="70" spans="6:13" x14ac:dyDescent="0.35">
      <c r="F70" s="8"/>
      <c r="G70" s="8"/>
      <c r="H70" s="8"/>
      <c r="I70" s="10"/>
      <c r="J70" s="8"/>
      <c r="K70" s="6"/>
      <c r="L70" s="6"/>
      <c r="M70" s="6"/>
    </row>
    <row r="71" spans="6:13" x14ac:dyDescent="0.35">
      <c r="F71" s="5"/>
      <c r="G71" s="5"/>
      <c r="H71" s="5"/>
      <c r="I71" s="5"/>
      <c r="J71" s="5"/>
      <c r="K71" s="6"/>
      <c r="L71" s="6"/>
      <c r="M71" s="6"/>
    </row>
    <row r="72" spans="6:13" x14ac:dyDescent="0.35">
      <c r="F72" s="5"/>
      <c r="G72" s="5"/>
      <c r="H72" s="5"/>
      <c r="I72" s="5"/>
      <c r="J72" s="5"/>
      <c r="K72" s="6"/>
      <c r="L72" s="6"/>
      <c r="M72" s="6"/>
    </row>
    <row r="73" spans="6:13" x14ac:dyDescent="0.35">
      <c r="F73" s="5"/>
      <c r="G73" s="5"/>
      <c r="H73" s="5"/>
      <c r="I73" s="5"/>
      <c r="J73" s="5"/>
      <c r="K73" s="6"/>
      <c r="L73" s="6"/>
      <c r="M73" s="6"/>
    </row>
    <row r="74" spans="6:13" x14ac:dyDescent="0.35">
      <c r="F74" s="5"/>
      <c r="G74" s="5"/>
      <c r="H74" s="5"/>
      <c r="I74" s="5"/>
      <c r="J74" s="5"/>
      <c r="K74" s="6"/>
      <c r="L74" s="6"/>
      <c r="M74" s="6"/>
    </row>
  </sheetData>
  <customSheetViews>
    <customSheetView guid="{71F22708-936C-4634-8B1D-22DEBD5C6A0B}" scale="80" topLeftCell="A43">
      <selection activeCell="B37" sqref="B37"/>
      <pageMargins left="0.25" right="0.25" top="0.75" bottom="0.75" header="0.3" footer="0.3"/>
      <pageSetup paperSize="9" scale="55" fitToWidth="2" fitToHeight="2" orientation="portrait" verticalDpi="1200" r:id="rId1"/>
    </customSheetView>
    <customSheetView guid="{830F3E6B-FC87-4045-90BA-BBF43B57060B}" scale="80">
      <selection activeCell="A4" sqref="A4"/>
      <pageMargins left="0.25" right="0.25" top="0.75" bottom="0.75" header="0.3" footer="0.3"/>
      <pageSetup paperSize="9" scale="55" fitToWidth="2" fitToHeight="2" orientation="portrait" verticalDpi="1200" r:id="rId2"/>
    </customSheetView>
    <customSheetView guid="{897964B6-D19C-4D3B-956D-D56B5FC783A6}" scale="80" topLeftCell="A43">
      <selection activeCell="A54" sqref="A54"/>
      <pageMargins left="0.25" right="0.25" top="0.75" bottom="0.75" header="0.3" footer="0.3"/>
      <pageSetup paperSize="9" scale="55" fitToWidth="2" fitToHeight="2" orientation="portrait" verticalDpi="1200" r:id="rId3"/>
    </customSheetView>
    <customSheetView guid="{DF44A382-8F3F-415A-AD4F-6D7C0AF39FB8}" scale="80" topLeftCell="A37">
      <selection activeCell="B48" sqref="B48"/>
      <pageMargins left="0.25" right="0.25" top="0.75" bottom="0.75" header="0.3" footer="0.3"/>
      <pageSetup paperSize="9" scale="55" fitToWidth="2" fitToHeight="2" orientation="portrait" verticalDpi="1200" r:id="rId4"/>
    </customSheetView>
    <customSheetView guid="{7E2DE00B-FC18-4E7F-BF5B-F41B982E543D}" scale="80" topLeftCell="A45">
      <selection activeCell="B56" sqref="B56"/>
      <pageMargins left="0.25" right="0.25" top="0.75" bottom="0.75" header="0.3" footer="0.3"/>
      <pageSetup paperSize="9" scale="55" fitToWidth="2" fitToHeight="2" orientation="portrait" verticalDpi="1200" r:id="rId5"/>
    </customSheetView>
    <customSheetView guid="{D7620105-0842-4335-8E12-27D8F4BB5620}" scale="80" topLeftCell="A43">
      <selection activeCell="A54" sqref="A54"/>
      <pageMargins left="0.25" right="0.25" top="0.75" bottom="0.75" header="0.3" footer="0.3"/>
      <pageSetup paperSize="9" scale="55" fitToWidth="2" fitToHeight="2" orientation="portrait" verticalDpi="1200" r:id="rId6"/>
    </customSheetView>
  </customSheetViews>
  <mergeCells count="1">
    <mergeCell ref="F1:J1"/>
  </mergeCells>
  <pageMargins left="0.23622047244094491" right="0.23622047244094491" top="0.74803149606299213" bottom="0.74803149606299213" header="0.31496062992125984" footer="0.31496062992125984"/>
  <pageSetup paperSize="9" scale="50" fitToWidth="2" fitToHeight="2" orientation="portrait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6"/>
  <sheetViews>
    <sheetView zoomScaleNormal="100" workbookViewId="0">
      <selection activeCell="E3" sqref="E3"/>
    </sheetView>
  </sheetViews>
  <sheetFormatPr defaultColWidth="9" defaultRowHeight="14.5" x14ac:dyDescent="0.35"/>
  <cols>
    <col min="1" max="1" width="5.54296875" style="1" customWidth="1"/>
    <col min="2" max="2" width="47.54296875" style="1" customWidth="1"/>
    <col min="3" max="3" width="9.54296875" style="1" customWidth="1"/>
    <col min="4" max="4" width="9" style="1"/>
    <col min="5" max="5" width="32.7265625" style="2" customWidth="1"/>
    <col min="6" max="6" width="10.7265625" style="3" customWidth="1"/>
    <col min="7" max="7" width="11.81640625" style="3" customWidth="1"/>
    <col min="8" max="9" width="13.453125" style="3" customWidth="1"/>
    <col min="10" max="10" width="10.7265625" style="3" customWidth="1"/>
    <col min="11" max="11" width="28.26953125" style="3" customWidth="1"/>
    <col min="12" max="12" width="14.26953125" style="1" customWidth="1"/>
    <col min="13" max="13" width="16.7265625" style="1" customWidth="1"/>
    <col min="14" max="16384" width="9" style="1"/>
  </cols>
  <sheetData>
    <row r="1" spans="1:11" ht="20" x14ac:dyDescent="0.35">
      <c r="F1" s="98"/>
      <c r="K1" s="99" t="s">
        <v>95</v>
      </c>
    </row>
    <row r="2" spans="1:11" ht="50.25" customHeight="1" x14ac:dyDescent="0.35">
      <c r="F2" s="96" t="s">
        <v>89</v>
      </c>
      <c r="G2" s="96"/>
      <c r="H2" s="96"/>
      <c r="I2" s="96"/>
      <c r="J2" s="96"/>
      <c r="K2" s="96"/>
    </row>
    <row r="3" spans="1:11" ht="21" x14ac:dyDescent="0.35">
      <c r="K3" s="87"/>
    </row>
    <row r="4" spans="1:11" ht="20" x14ac:dyDescent="0.35">
      <c r="E4" s="88" t="s">
        <v>91</v>
      </c>
      <c r="K4" s="31"/>
    </row>
    <row r="5" spans="1:11" ht="21" customHeight="1" x14ac:dyDescent="0.35">
      <c r="A5" s="32"/>
      <c r="B5" s="31"/>
      <c r="C5" s="32"/>
      <c r="D5" s="31"/>
      <c r="E5" s="86"/>
      <c r="F5" s="31"/>
      <c r="G5" s="31"/>
      <c r="H5" s="31"/>
      <c r="I5" s="31"/>
      <c r="J5" s="31"/>
      <c r="K5" s="1"/>
    </row>
    <row r="6" spans="1:11" ht="16.5" customHeight="1" thickBot="1" x14ac:dyDescent="0.4">
      <c r="A6" s="73"/>
      <c r="C6" s="3"/>
      <c r="D6" s="3"/>
      <c r="E6" s="3"/>
    </row>
    <row r="7" spans="1:11" s="2" customFormat="1" ht="37.5" customHeight="1" x14ac:dyDescent="0.35">
      <c r="A7" s="26" t="s">
        <v>46</v>
      </c>
      <c r="B7" s="30" t="s">
        <v>5</v>
      </c>
      <c r="C7" s="25" t="s">
        <v>6</v>
      </c>
      <c r="D7" s="25" t="s">
        <v>7</v>
      </c>
      <c r="E7" s="25" t="s">
        <v>8</v>
      </c>
      <c r="F7" s="27" t="s">
        <v>9</v>
      </c>
      <c r="G7" s="27" t="s">
        <v>10</v>
      </c>
      <c r="H7" s="27" t="s">
        <v>11</v>
      </c>
      <c r="I7" s="28" t="s">
        <v>94</v>
      </c>
      <c r="J7" s="28" t="s">
        <v>12</v>
      </c>
      <c r="K7" s="29" t="s">
        <v>13</v>
      </c>
    </row>
    <row r="8" spans="1:11" ht="23.25" customHeight="1" x14ac:dyDescent="0.35">
      <c r="A8" s="4">
        <v>1</v>
      </c>
      <c r="B8" s="33" t="s">
        <v>0</v>
      </c>
      <c r="C8" s="34" t="s">
        <v>14</v>
      </c>
      <c r="D8" s="34" t="s">
        <v>1</v>
      </c>
      <c r="E8" s="24"/>
      <c r="F8" s="47">
        <v>0.39369999999999999</v>
      </c>
      <c r="G8" s="47">
        <v>0.29530000000000001</v>
      </c>
      <c r="H8" s="48">
        <v>0.22070000000000001</v>
      </c>
      <c r="I8" s="48">
        <v>0.22070000000000001</v>
      </c>
      <c r="J8" s="54">
        <v>0.14599999999999999</v>
      </c>
      <c r="K8" s="52"/>
    </row>
    <row r="9" spans="1:11" ht="23.25" customHeight="1" x14ac:dyDescent="0.35">
      <c r="A9" s="4">
        <v>2</v>
      </c>
      <c r="B9" s="33" t="s">
        <v>15</v>
      </c>
      <c r="C9" s="34" t="s">
        <v>16</v>
      </c>
      <c r="D9" s="34" t="s">
        <v>1</v>
      </c>
      <c r="E9" s="24"/>
      <c r="F9" s="49">
        <v>60</v>
      </c>
      <c r="G9" s="49">
        <v>1100</v>
      </c>
      <c r="H9" s="49">
        <v>3500</v>
      </c>
      <c r="I9" s="49">
        <v>750</v>
      </c>
      <c r="J9" s="55">
        <v>4400</v>
      </c>
      <c r="K9" s="52"/>
    </row>
    <row r="10" spans="1:11" ht="31.5" customHeight="1" x14ac:dyDescent="0.35">
      <c r="A10" s="4"/>
      <c r="B10" s="33" t="s">
        <v>92</v>
      </c>
      <c r="C10" s="34"/>
      <c r="D10" s="34"/>
      <c r="E10" s="24"/>
      <c r="F10" s="49"/>
      <c r="G10" s="49"/>
      <c r="H10" s="49"/>
      <c r="I10" s="55"/>
      <c r="J10" s="55"/>
      <c r="K10" s="52"/>
    </row>
    <row r="11" spans="1:11" s="6" customFormat="1" ht="23.25" customHeight="1" x14ac:dyDescent="0.35">
      <c r="A11" s="4">
        <v>3</v>
      </c>
      <c r="B11" s="33" t="s">
        <v>51</v>
      </c>
      <c r="C11" s="34" t="s">
        <v>60</v>
      </c>
      <c r="D11" s="34" t="s">
        <v>1</v>
      </c>
      <c r="E11" s="24"/>
      <c r="F11" s="53" t="s">
        <v>49</v>
      </c>
      <c r="G11" s="53" t="s">
        <v>49</v>
      </c>
      <c r="H11" s="53" t="s">
        <v>49</v>
      </c>
      <c r="I11" s="89" t="s">
        <v>93</v>
      </c>
      <c r="J11" s="55">
        <v>3450</v>
      </c>
      <c r="K11" s="52"/>
    </row>
    <row r="12" spans="1:11" ht="23.25" customHeight="1" x14ac:dyDescent="0.35">
      <c r="A12" s="36">
        <v>4</v>
      </c>
      <c r="B12" s="33" t="s">
        <v>56</v>
      </c>
      <c r="C12" s="34" t="s">
        <v>61</v>
      </c>
      <c r="D12" s="34" t="s">
        <v>1</v>
      </c>
      <c r="E12" s="24"/>
      <c r="F12" s="53" t="s">
        <v>49</v>
      </c>
      <c r="G12" s="53" t="s">
        <v>49</v>
      </c>
      <c r="H12" s="53" t="s">
        <v>49</v>
      </c>
      <c r="I12" s="89" t="s">
        <v>93</v>
      </c>
      <c r="J12" s="56">
        <v>7.2999999999999995E-2</v>
      </c>
      <c r="K12" s="52"/>
    </row>
    <row r="13" spans="1:11" ht="23.25" customHeight="1" x14ac:dyDescent="0.35">
      <c r="A13" s="36">
        <v>5</v>
      </c>
      <c r="B13" s="33" t="s">
        <v>65</v>
      </c>
      <c r="C13" s="34" t="s">
        <v>68</v>
      </c>
      <c r="D13" s="34" t="s">
        <v>1</v>
      </c>
      <c r="E13" s="24"/>
      <c r="F13" s="53" t="s">
        <v>49</v>
      </c>
      <c r="G13" s="53" t="s">
        <v>49</v>
      </c>
      <c r="H13" s="53" t="s">
        <v>49</v>
      </c>
      <c r="I13" s="89" t="s">
        <v>93</v>
      </c>
      <c r="J13" s="56">
        <v>8.8999999999999996E-2</v>
      </c>
      <c r="K13" s="52"/>
    </row>
    <row r="14" spans="1:11" x14ac:dyDescent="0.35">
      <c r="A14" s="36">
        <v>6</v>
      </c>
      <c r="B14" s="33" t="s">
        <v>17</v>
      </c>
      <c r="C14" s="34" t="s">
        <v>67</v>
      </c>
      <c r="D14" s="34" t="s">
        <v>1</v>
      </c>
      <c r="E14" s="24"/>
      <c r="F14" s="35"/>
      <c r="G14" s="47">
        <v>0.245</v>
      </c>
      <c r="H14" s="47">
        <v>0.16800000000000001</v>
      </c>
      <c r="I14" s="56"/>
      <c r="J14" s="56">
        <v>0.114</v>
      </c>
      <c r="K14" s="52"/>
    </row>
    <row r="15" spans="1:11" x14ac:dyDescent="0.35">
      <c r="A15" s="36">
        <v>7</v>
      </c>
      <c r="B15" s="33" t="s">
        <v>50</v>
      </c>
      <c r="C15" s="34" t="s">
        <v>64</v>
      </c>
      <c r="D15" s="34" t="s">
        <v>1</v>
      </c>
      <c r="E15" s="24"/>
      <c r="F15" s="35"/>
      <c r="G15" s="47">
        <v>8.0000000000000002E-3</v>
      </c>
      <c r="H15" s="47">
        <v>8.8999999999999999E-3</v>
      </c>
      <c r="I15" s="56"/>
      <c r="J15" s="56">
        <v>7.4000000000000003E-3</v>
      </c>
      <c r="K15" s="52"/>
    </row>
    <row r="16" spans="1:11" x14ac:dyDescent="0.35">
      <c r="A16" s="36">
        <v>8</v>
      </c>
      <c r="B16" s="33" t="s">
        <v>18</v>
      </c>
      <c r="C16" s="34" t="s">
        <v>62</v>
      </c>
      <c r="D16" s="34" t="s">
        <v>1</v>
      </c>
      <c r="E16" s="24"/>
      <c r="F16" s="50"/>
      <c r="G16" s="47">
        <v>0.22919999999999999</v>
      </c>
      <c r="H16" s="47">
        <v>0.1502</v>
      </c>
      <c r="I16" s="56"/>
      <c r="J16" s="56">
        <v>0.1</v>
      </c>
      <c r="K16" s="52"/>
    </row>
    <row r="17" spans="1:13" ht="29" x14ac:dyDescent="0.35">
      <c r="A17" s="36">
        <v>9</v>
      </c>
      <c r="B17" s="33" t="s">
        <v>54</v>
      </c>
      <c r="C17" s="24" t="s">
        <v>52</v>
      </c>
      <c r="D17" s="34" t="s">
        <v>21</v>
      </c>
      <c r="E17" s="24" t="s">
        <v>70</v>
      </c>
      <c r="F17" s="58"/>
      <c r="G17" s="13">
        <f>((0.785*G18*G18)-(0.785*(G18-G19*2)*(G18-G19*2)))*G9</f>
        <v>3.6681480000000013</v>
      </c>
      <c r="H17" s="13">
        <f>((0.785*H18*H18)-(0.785*(H18-H19*2)*(H18-H19*2)))*H9</f>
        <v>11.671380000000005</v>
      </c>
      <c r="I17" s="13" t="s">
        <v>93</v>
      </c>
      <c r="J17" s="13">
        <f>((0.785*J13*J13)-(0.785*J12*J12))*H9</f>
        <v>7.1215199999999976</v>
      </c>
      <c r="K17" s="52"/>
    </row>
    <row r="18" spans="1:13" x14ac:dyDescent="0.35">
      <c r="A18" s="36">
        <v>10</v>
      </c>
      <c r="B18" s="33" t="s">
        <v>55</v>
      </c>
      <c r="C18" s="34" t="s">
        <v>53</v>
      </c>
      <c r="D18" s="34" t="s">
        <v>1</v>
      </c>
      <c r="E18" s="24"/>
      <c r="F18" s="35"/>
      <c r="G18" s="57">
        <v>0.127</v>
      </c>
      <c r="H18" s="57">
        <v>0.127</v>
      </c>
      <c r="I18" s="57">
        <v>0.127</v>
      </c>
      <c r="J18" s="18"/>
      <c r="K18" s="52"/>
    </row>
    <row r="19" spans="1:13" x14ac:dyDescent="0.35">
      <c r="A19" s="36">
        <v>11</v>
      </c>
      <c r="B19" s="33" t="s">
        <v>63</v>
      </c>
      <c r="C19" s="34" t="s">
        <v>66</v>
      </c>
      <c r="D19" s="34" t="s">
        <v>1</v>
      </c>
      <c r="E19" s="24"/>
      <c r="F19" s="35"/>
      <c r="G19" s="57">
        <v>8.9999999999999993E-3</v>
      </c>
      <c r="H19" s="57">
        <v>8.9999999999999993E-3</v>
      </c>
      <c r="I19" s="57">
        <v>8.9999999999999993E-3</v>
      </c>
      <c r="J19" s="18"/>
      <c r="K19" s="52"/>
    </row>
    <row r="20" spans="1:13" x14ac:dyDescent="0.35">
      <c r="A20" s="36">
        <v>12</v>
      </c>
      <c r="B20" s="33" t="s">
        <v>57</v>
      </c>
      <c r="C20" s="34" t="s">
        <v>58</v>
      </c>
      <c r="D20" s="34" t="s">
        <v>1</v>
      </c>
      <c r="E20" s="24"/>
      <c r="F20" s="35"/>
      <c r="G20" s="57">
        <v>0.109</v>
      </c>
      <c r="H20" s="57">
        <v>0.109</v>
      </c>
      <c r="I20" s="57">
        <v>0.109</v>
      </c>
      <c r="J20" s="18"/>
      <c r="K20" s="52"/>
    </row>
    <row r="21" spans="1:13" ht="58" x14ac:dyDescent="0.35">
      <c r="A21" s="36">
        <v>13</v>
      </c>
      <c r="B21" s="33" t="s">
        <v>74</v>
      </c>
      <c r="C21" s="34" t="s">
        <v>59</v>
      </c>
      <c r="D21" s="34" t="s">
        <v>21</v>
      </c>
      <c r="E21" s="24"/>
      <c r="F21" s="35" t="s">
        <v>2</v>
      </c>
      <c r="G21" s="56">
        <v>120</v>
      </c>
      <c r="H21" s="56">
        <v>120</v>
      </c>
      <c r="I21" s="91" t="s">
        <v>93</v>
      </c>
      <c r="J21" s="56">
        <v>120</v>
      </c>
      <c r="K21" s="52"/>
    </row>
    <row r="22" spans="1:13" x14ac:dyDescent="0.35">
      <c r="A22" s="36">
        <v>14</v>
      </c>
      <c r="B22" s="33" t="s">
        <v>19</v>
      </c>
      <c r="C22" s="34" t="s">
        <v>20</v>
      </c>
      <c r="D22" s="34"/>
      <c r="E22" s="24"/>
      <c r="F22" s="51">
        <v>1.3</v>
      </c>
      <c r="G22" s="51">
        <v>1.3</v>
      </c>
      <c r="H22" s="51">
        <v>1.3</v>
      </c>
      <c r="I22" s="51">
        <v>1.3</v>
      </c>
      <c r="J22" s="51">
        <v>1.3</v>
      </c>
      <c r="K22" s="52"/>
    </row>
    <row r="23" spans="1:13" ht="43.5" x14ac:dyDescent="0.35">
      <c r="A23" s="36">
        <v>15</v>
      </c>
      <c r="B23" s="33" t="s">
        <v>76</v>
      </c>
      <c r="C23" s="34" t="s">
        <v>22</v>
      </c>
      <c r="D23" s="34" t="s">
        <v>21</v>
      </c>
      <c r="E23" s="24" t="s">
        <v>41</v>
      </c>
      <c r="F23" s="35">
        <v>0</v>
      </c>
      <c r="G23" s="35">
        <f>0.785*G8*G8*G22*((G9-F9)-500)*1.2</f>
        <v>57.665346883560005</v>
      </c>
      <c r="H23" s="35">
        <v>0</v>
      </c>
      <c r="I23" s="35" t="s">
        <v>93</v>
      </c>
      <c r="J23" s="35">
        <v>0</v>
      </c>
      <c r="K23" s="17"/>
      <c r="L23" s="14"/>
      <c r="M23" s="14"/>
    </row>
    <row r="24" spans="1:13" ht="29" x14ac:dyDescent="0.35">
      <c r="A24" s="36">
        <v>16</v>
      </c>
      <c r="B24" s="33" t="s">
        <v>75</v>
      </c>
      <c r="C24" s="34" t="s">
        <v>22</v>
      </c>
      <c r="D24" s="34" t="s">
        <v>21</v>
      </c>
      <c r="E24" s="24" t="s">
        <v>41</v>
      </c>
      <c r="F24" s="35">
        <f>0.785*F8*F8*F22*F9*1.2</f>
        <v>11.388757222440002</v>
      </c>
      <c r="G24" s="35">
        <f>0.785*G8*G8*G22*(G9-F9)*1.2</f>
        <v>111.05918659056003</v>
      </c>
      <c r="H24" s="35">
        <f>0.785*H8*H8*H22*(H9-G9)*1.2</f>
        <v>143.15620044959999</v>
      </c>
      <c r="I24" s="35">
        <f>0.785*I8*I8*I22*(I9)*1.2</f>
        <v>44.736312640500003</v>
      </c>
      <c r="J24" s="35">
        <f>0.785*J8*J8*J22*(J9-H9)*1.2</f>
        <v>23.493216240000002</v>
      </c>
      <c r="K24" s="17">
        <f t="shared" ref="K24:K38" si="0">SUM(F24:J24)</f>
        <v>333.83367314309999</v>
      </c>
      <c r="L24" s="14"/>
      <c r="M24" s="14"/>
    </row>
    <row r="25" spans="1:13" ht="22.5" customHeight="1" x14ac:dyDescent="0.35">
      <c r="A25" s="36">
        <v>17</v>
      </c>
      <c r="B25" s="42" t="s">
        <v>23</v>
      </c>
      <c r="C25" s="43" t="s">
        <v>24</v>
      </c>
      <c r="D25" s="43" t="s">
        <v>21</v>
      </c>
      <c r="E25" s="44" t="s">
        <v>25</v>
      </c>
      <c r="F25" s="45">
        <f>F26+F27+F28+F29</f>
        <v>3.8038449122949611</v>
      </c>
      <c r="G25" s="45">
        <f>G26+G27+G28+G29+G30+G31</f>
        <v>105.42720437826566</v>
      </c>
      <c r="H25" s="45">
        <f>H26+H27+H28+H29</f>
        <v>217.45426848294238</v>
      </c>
      <c r="I25" s="45">
        <f>I26+I27+I28+I29</f>
        <v>67.954458900919505</v>
      </c>
      <c r="J25" s="45">
        <f>J26+J27+J28+J29</f>
        <v>35.686195468559994</v>
      </c>
      <c r="K25" s="40">
        <f t="shared" si="0"/>
        <v>430.32597214298255</v>
      </c>
      <c r="L25" s="14"/>
      <c r="M25" s="14"/>
    </row>
    <row r="26" spans="1:13" x14ac:dyDescent="0.35">
      <c r="A26" s="36">
        <v>18</v>
      </c>
      <c r="B26" s="46" t="s">
        <v>26</v>
      </c>
      <c r="C26" s="37" t="s">
        <v>27</v>
      </c>
      <c r="D26" s="37" t="s">
        <v>21</v>
      </c>
      <c r="E26" s="38" t="s">
        <v>28</v>
      </c>
      <c r="F26" s="39">
        <f>1.3*F24*0.1</f>
        <v>1.4805384389172005</v>
      </c>
      <c r="G26" s="39">
        <f>1.3*G24*0.1</f>
        <v>14.437694256772804</v>
      </c>
      <c r="H26" s="39">
        <f>1.3*H24*0.1</f>
        <v>18.610306058448</v>
      </c>
      <c r="I26" s="39">
        <f>1.3*I24*0.1</f>
        <v>5.815720643265001</v>
      </c>
      <c r="J26" s="39">
        <f>1.3*J24*0.1</f>
        <v>3.0541181112000007</v>
      </c>
      <c r="K26" s="41">
        <f t="shared" si="0"/>
        <v>43.398377508603005</v>
      </c>
      <c r="L26" s="14"/>
      <c r="M26" s="14"/>
    </row>
    <row r="27" spans="1:13" x14ac:dyDescent="0.35">
      <c r="A27" s="36">
        <v>19</v>
      </c>
      <c r="B27" s="46" t="s">
        <v>47</v>
      </c>
      <c r="C27" s="37" t="s">
        <v>29</v>
      </c>
      <c r="D27" s="37" t="s">
        <v>21</v>
      </c>
      <c r="E27" s="59" t="s">
        <v>72</v>
      </c>
      <c r="F27" s="39">
        <f>1.02*F24*0.2</f>
        <v>2.3233064733777606</v>
      </c>
      <c r="G27" s="39">
        <f>1.02*G24*0.2</f>
        <v>22.65607406447425</v>
      </c>
      <c r="H27" s="39">
        <f>1.02*H24*0.2</f>
        <v>29.2038648917184</v>
      </c>
      <c r="I27" s="39">
        <f>1.02*I24*0.2</f>
        <v>9.1262077786620015</v>
      </c>
      <c r="J27" s="39">
        <f>1.02*J24*0.2</f>
        <v>4.7926161129600002</v>
      </c>
      <c r="K27" s="41">
        <f t="shared" si="0"/>
        <v>68.102069321192403</v>
      </c>
      <c r="L27" s="14"/>
      <c r="M27" s="14"/>
    </row>
    <row r="28" spans="1:13" x14ac:dyDescent="0.35">
      <c r="A28" s="36">
        <v>20</v>
      </c>
      <c r="B28" s="46" t="s">
        <v>48</v>
      </c>
      <c r="C28" s="37" t="s">
        <v>30</v>
      </c>
      <c r="D28" s="37" t="s">
        <v>21</v>
      </c>
      <c r="E28" s="38" t="s">
        <v>42</v>
      </c>
      <c r="F28" s="39"/>
      <c r="G28" s="39"/>
      <c r="H28" s="39">
        <f>3*H24*0.35</f>
        <v>150.31401047207999</v>
      </c>
      <c r="I28" s="39">
        <f>3*I24*0.35</f>
        <v>46.973128272525003</v>
      </c>
      <c r="J28" s="39">
        <f>3*J24*0.35</f>
        <v>24.667877051999998</v>
      </c>
      <c r="K28" s="41">
        <f t="shared" si="0"/>
        <v>221.95501579660498</v>
      </c>
      <c r="L28" s="14"/>
      <c r="M28" s="14"/>
    </row>
    <row r="29" spans="1:13" ht="15" customHeight="1" x14ac:dyDescent="0.35">
      <c r="A29" s="36">
        <v>21</v>
      </c>
      <c r="B29" s="46" t="s">
        <v>31</v>
      </c>
      <c r="C29" s="37" t="s">
        <v>32</v>
      </c>
      <c r="D29" s="37" t="s">
        <v>21</v>
      </c>
      <c r="E29" s="38" t="s">
        <v>33</v>
      </c>
      <c r="F29" s="39"/>
      <c r="G29" s="39"/>
      <c r="H29" s="39">
        <f>3*0.05*H24*0.9</f>
        <v>19.326087060696004</v>
      </c>
      <c r="I29" s="39">
        <f>3*0.05*I24*0.9</f>
        <v>6.0394022064675017</v>
      </c>
      <c r="J29" s="39">
        <f>3*0.05*J24*0.9</f>
        <v>3.1715841924000006</v>
      </c>
      <c r="K29" s="41">
        <f t="shared" si="0"/>
        <v>28.537073459563505</v>
      </c>
      <c r="L29" s="14"/>
      <c r="M29" s="14"/>
    </row>
    <row r="30" spans="1:13" x14ac:dyDescent="0.35">
      <c r="A30" s="36">
        <v>22</v>
      </c>
      <c r="B30" s="46" t="s">
        <v>44</v>
      </c>
      <c r="C30" s="37" t="s">
        <v>30</v>
      </c>
      <c r="D30" s="37" t="s">
        <v>21</v>
      </c>
      <c r="E30" s="38" t="s">
        <v>42</v>
      </c>
      <c r="F30" s="39"/>
      <c r="G30" s="39">
        <f>3*G23*0.35</f>
        <v>60.548614227738</v>
      </c>
      <c r="H30" s="39"/>
      <c r="I30" s="39"/>
      <c r="J30" s="39"/>
      <c r="K30" s="41">
        <f t="shared" si="0"/>
        <v>60.548614227738</v>
      </c>
      <c r="L30" s="14"/>
      <c r="M30" s="14"/>
    </row>
    <row r="31" spans="1:13" ht="15" customHeight="1" x14ac:dyDescent="0.35">
      <c r="A31" s="36">
        <v>23</v>
      </c>
      <c r="B31" s="46" t="s">
        <v>45</v>
      </c>
      <c r="C31" s="37" t="s">
        <v>32</v>
      </c>
      <c r="D31" s="37" t="s">
        <v>21</v>
      </c>
      <c r="E31" s="38" t="s">
        <v>33</v>
      </c>
      <c r="F31" s="39"/>
      <c r="G31" s="39">
        <f>3*0.05*G23*0.9</f>
        <v>7.7848218292806015</v>
      </c>
      <c r="H31" s="39"/>
      <c r="I31" s="39"/>
      <c r="J31" s="39"/>
      <c r="K31" s="41">
        <f t="shared" si="0"/>
        <v>7.7848218292806015</v>
      </c>
      <c r="L31" s="14"/>
      <c r="M31" s="14"/>
    </row>
    <row r="32" spans="1:13" ht="43.5" x14ac:dyDescent="0.35">
      <c r="A32" s="36">
        <v>24</v>
      </c>
      <c r="B32" s="33" t="s">
        <v>3</v>
      </c>
      <c r="C32" s="34" t="s">
        <v>34</v>
      </c>
      <c r="D32" s="34" t="s">
        <v>21</v>
      </c>
      <c r="E32" s="24" t="s">
        <v>82</v>
      </c>
      <c r="F32" s="13">
        <v>10</v>
      </c>
      <c r="G32" s="13">
        <v>20</v>
      </c>
      <c r="H32" s="13">
        <v>20</v>
      </c>
      <c r="I32" s="90">
        <v>20</v>
      </c>
      <c r="J32" s="12">
        <v>0</v>
      </c>
      <c r="K32" s="17">
        <f t="shared" si="0"/>
        <v>70</v>
      </c>
      <c r="L32" s="14"/>
      <c r="M32" s="14"/>
    </row>
    <row r="33" spans="1:22" ht="43.5" x14ac:dyDescent="0.35">
      <c r="A33" s="36">
        <v>25</v>
      </c>
      <c r="B33" s="33" t="s">
        <v>4</v>
      </c>
      <c r="C33" s="34" t="s">
        <v>35</v>
      </c>
      <c r="D33" s="34" t="s">
        <v>21</v>
      </c>
      <c r="E33" s="24" t="s">
        <v>80</v>
      </c>
      <c r="F33" s="13">
        <v>3</v>
      </c>
      <c r="G33" s="13">
        <v>5</v>
      </c>
      <c r="H33" s="13">
        <v>5</v>
      </c>
      <c r="I33" s="90">
        <v>5</v>
      </c>
      <c r="J33" s="12">
        <v>0</v>
      </c>
      <c r="K33" s="17">
        <f>SUM(F33:J33)</f>
        <v>18</v>
      </c>
      <c r="L33" s="15"/>
      <c r="M33" s="15"/>
    </row>
    <row r="34" spans="1:22" ht="43.5" x14ac:dyDescent="0.35">
      <c r="A34" s="36">
        <v>26</v>
      </c>
      <c r="B34" s="33" t="s">
        <v>36</v>
      </c>
      <c r="C34" s="34" t="s">
        <v>37</v>
      </c>
      <c r="D34" s="34" t="s">
        <v>21</v>
      </c>
      <c r="E34" s="24" t="s">
        <v>81</v>
      </c>
      <c r="F34" s="13">
        <v>50</v>
      </c>
      <c r="G34" s="13">
        <v>50</v>
      </c>
      <c r="H34" s="13">
        <v>50</v>
      </c>
      <c r="I34" s="90">
        <v>100</v>
      </c>
      <c r="J34" s="12">
        <v>0</v>
      </c>
      <c r="K34" s="17">
        <f t="shared" si="0"/>
        <v>250</v>
      </c>
      <c r="L34" s="15"/>
      <c r="M34" s="15"/>
    </row>
    <row r="35" spans="1:22" ht="55.5" customHeight="1" x14ac:dyDescent="0.35">
      <c r="A35" s="36">
        <v>27</v>
      </c>
      <c r="B35" s="74" t="s">
        <v>83</v>
      </c>
      <c r="C35" s="75" t="s">
        <v>43</v>
      </c>
      <c r="D35" s="76" t="s">
        <v>21</v>
      </c>
      <c r="E35" s="75" t="s">
        <v>71</v>
      </c>
      <c r="F35" s="77" t="s">
        <v>2</v>
      </c>
      <c r="G35" s="77">
        <f>(0.785*G16*G16*G9)+G21-G17</f>
        <v>161.69378664000001</v>
      </c>
      <c r="H35" s="77">
        <f>(0.785*H16*H16*H9)+H21-H17</f>
        <v>170.31232990000001</v>
      </c>
      <c r="I35" s="77" t="s">
        <v>93</v>
      </c>
      <c r="J35" s="77">
        <f>(0.785*J16*J16*J9)+J21-J17</f>
        <v>147.41848000000002</v>
      </c>
      <c r="K35" s="17">
        <f t="shared" si="0"/>
        <v>479.42459654000004</v>
      </c>
      <c r="L35" s="15"/>
      <c r="M35" s="15"/>
    </row>
    <row r="36" spans="1:22" ht="29" x14ac:dyDescent="0.35">
      <c r="A36" s="36">
        <v>28</v>
      </c>
      <c r="B36" s="33" t="s">
        <v>87</v>
      </c>
      <c r="C36" s="34" t="s">
        <v>38</v>
      </c>
      <c r="D36" s="34" t="s">
        <v>21</v>
      </c>
      <c r="E36" s="24" t="s">
        <v>85</v>
      </c>
      <c r="F36" s="13">
        <f>0.5*F25</f>
        <v>1.9019224561474806</v>
      </c>
      <c r="G36" s="13">
        <f t="shared" ref="G36:J36" si="1">0.5*G25</f>
        <v>52.713602189132828</v>
      </c>
      <c r="H36" s="13">
        <f t="shared" si="1"/>
        <v>108.72713424147119</v>
      </c>
      <c r="I36" s="13">
        <f>0.5*I25</f>
        <v>33.977229450459753</v>
      </c>
      <c r="J36" s="13">
        <f t="shared" si="1"/>
        <v>17.843097734279997</v>
      </c>
      <c r="K36" s="17">
        <f>SUM(F36:J36)</f>
        <v>215.16298607149128</v>
      </c>
      <c r="L36" s="14"/>
      <c r="M36" s="14"/>
    </row>
    <row r="37" spans="1:22" s="16" customFormat="1" ht="62" x14ac:dyDescent="0.35">
      <c r="A37" s="36">
        <v>29</v>
      </c>
      <c r="B37" s="64" t="s">
        <v>88</v>
      </c>
      <c r="C37" s="65" t="s">
        <v>39</v>
      </c>
      <c r="D37" s="65" t="s">
        <v>21</v>
      </c>
      <c r="E37" s="66" t="s">
        <v>69</v>
      </c>
      <c r="F37" s="67" t="s">
        <v>2</v>
      </c>
      <c r="G37" s="67" t="s">
        <v>2</v>
      </c>
      <c r="H37" s="67">
        <f>0.785*(H8*H8*H22-H14*H14)*(H9-G9)+0.785*(G16*G16-H14*H14)*G9</f>
        <v>87.113328347999982</v>
      </c>
      <c r="I37" s="67" t="s">
        <v>93</v>
      </c>
      <c r="J37" s="67">
        <f>((0.785*J16*J16*J9)+0.785*(J8*J8*J22-J14*J14)*(J9-H9+150))</f>
        <v>46.668673900000002</v>
      </c>
      <c r="K37" s="68">
        <f t="shared" si="0"/>
        <v>133.78200224799997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s="84" customFormat="1" ht="29.5" thickBot="1" x14ac:dyDescent="0.4">
      <c r="A38" s="78">
        <v>30</v>
      </c>
      <c r="B38" s="79" t="s">
        <v>86</v>
      </c>
      <c r="C38" s="80" t="s">
        <v>84</v>
      </c>
      <c r="D38" s="80" t="s">
        <v>21</v>
      </c>
      <c r="E38" s="81"/>
      <c r="F38" s="82"/>
      <c r="G38" s="82"/>
      <c r="H38" s="82"/>
      <c r="I38" s="82"/>
      <c r="J38" s="82"/>
      <c r="K38" s="83">
        <f t="shared" si="0"/>
        <v>0</v>
      </c>
    </row>
    <row r="39" spans="1:22" ht="44" thickBot="1" x14ac:dyDescent="0.4">
      <c r="A39" s="36">
        <v>31</v>
      </c>
      <c r="B39" s="69" t="s">
        <v>77</v>
      </c>
      <c r="C39" s="70" t="s">
        <v>40</v>
      </c>
      <c r="D39" s="70" t="s">
        <v>21</v>
      </c>
      <c r="E39" s="71" t="s">
        <v>73</v>
      </c>
      <c r="F39" s="72">
        <f>SUM(F24:F25,F32:F38)</f>
        <v>80.094524590882429</v>
      </c>
      <c r="G39" s="72">
        <f>SUM(G24:G25,G32:G38)</f>
        <v>505.89377979795853</v>
      </c>
      <c r="H39" s="72">
        <f>SUM(H24:H25,H32:H38)</f>
        <v>801.76326142201356</v>
      </c>
      <c r="I39" s="72">
        <f>SUM(I24:I25,I32:I38)</f>
        <v>271.66800099187924</v>
      </c>
      <c r="J39" s="72">
        <f>SUM(J24:J25,J32:J38)</f>
        <v>271.10966334284001</v>
      </c>
      <c r="K39" s="85">
        <f>SUM(K24,K25,K32:K38)</f>
        <v>1930.529230145574</v>
      </c>
      <c r="L39" s="92">
        <v>1742</v>
      </c>
      <c r="M39" s="93"/>
    </row>
    <row r="40" spans="1:22" x14ac:dyDescent="0.35">
      <c r="F40" s="5"/>
      <c r="G40" s="5"/>
      <c r="H40" s="5"/>
      <c r="I40" s="5"/>
      <c r="J40" s="7"/>
      <c r="K40" s="5"/>
      <c r="L40" s="6"/>
      <c r="M40" s="6"/>
      <c r="N40" s="6"/>
    </row>
    <row r="41" spans="1:22" ht="18.5" x14ac:dyDescent="0.45">
      <c r="A41" s="61" t="s">
        <v>78</v>
      </c>
      <c r="B41" s="60"/>
      <c r="C41" s="20"/>
      <c r="D41" s="20"/>
      <c r="E41" s="21"/>
      <c r="F41" s="22"/>
      <c r="G41" s="22"/>
      <c r="H41" s="22"/>
      <c r="I41" s="22"/>
      <c r="J41" s="23"/>
      <c r="K41" s="5"/>
      <c r="L41" s="6"/>
      <c r="M41" s="6"/>
      <c r="N41" s="6"/>
    </row>
    <row r="42" spans="1:22" ht="18" x14ac:dyDescent="0.35">
      <c r="A42" s="62" t="s">
        <v>79</v>
      </c>
      <c r="F42" s="5"/>
      <c r="G42" s="5"/>
      <c r="H42" s="5"/>
      <c r="I42" s="5"/>
      <c r="J42" s="7"/>
      <c r="K42" s="5"/>
      <c r="L42" s="6"/>
      <c r="M42" s="6"/>
      <c r="N42" s="6"/>
    </row>
    <row r="43" spans="1:22" x14ac:dyDescent="0.35">
      <c r="F43" s="8"/>
      <c r="G43" s="8"/>
      <c r="H43" s="8"/>
      <c r="I43" s="8"/>
      <c r="J43" s="10"/>
      <c r="K43" s="8"/>
      <c r="L43" s="6"/>
      <c r="M43" s="6"/>
      <c r="N43" s="6"/>
    </row>
    <row r="44" spans="1:22" x14ac:dyDescent="0.35">
      <c r="F44" s="8"/>
      <c r="G44" s="8"/>
      <c r="H44" s="8"/>
      <c r="I44" s="8"/>
      <c r="J44" s="10"/>
      <c r="K44" s="8"/>
      <c r="L44" s="6"/>
      <c r="M44" s="6"/>
      <c r="N44" s="6"/>
    </row>
    <row r="45" spans="1:22" x14ac:dyDescent="0.35">
      <c r="F45" s="8"/>
      <c r="G45" s="8"/>
      <c r="H45" s="8"/>
      <c r="I45" s="8"/>
      <c r="J45" s="10"/>
      <c r="K45" s="8"/>
      <c r="L45" s="6"/>
      <c r="M45" s="6"/>
      <c r="N45" s="6"/>
    </row>
    <row r="46" spans="1:22" x14ac:dyDescent="0.35">
      <c r="F46" s="8"/>
      <c r="G46" s="8"/>
      <c r="H46" s="8"/>
      <c r="I46" s="8"/>
      <c r="J46" s="10"/>
      <c r="K46" s="8"/>
      <c r="L46" s="6"/>
      <c r="M46" s="6"/>
      <c r="N46" s="6"/>
    </row>
    <row r="47" spans="1:22" x14ac:dyDescent="0.35">
      <c r="F47" s="8"/>
      <c r="G47" s="8"/>
      <c r="H47" s="8"/>
      <c r="I47" s="8"/>
      <c r="J47" s="10"/>
      <c r="K47" s="8"/>
      <c r="L47" s="6"/>
      <c r="M47" s="6"/>
      <c r="N47" s="6"/>
    </row>
    <row r="48" spans="1:22" x14ac:dyDescent="0.35">
      <c r="F48" s="8"/>
      <c r="G48" s="8"/>
      <c r="H48" s="8"/>
      <c r="I48" s="8"/>
      <c r="J48" s="10"/>
      <c r="K48" s="8"/>
      <c r="L48" s="6"/>
      <c r="M48" s="6"/>
      <c r="N48" s="6"/>
    </row>
    <row r="49" spans="6:14" x14ac:dyDescent="0.35">
      <c r="F49" s="8"/>
      <c r="G49" s="8"/>
      <c r="H49" s="8"/>
      <c r="I49" s="8"/>
      <c r="J49" s="10"/>
      <c r="K49" s="8"/>
      <c r="L49" s="6"/>
      <c r="M49" s="6"/>
      <c r="N49" s="6"/>
    </row>
    <row r="50" spans="6:14" x14ac:dyDescent="0.35">
      <c r="F50" s="8"/>
      <c r="G50" s="8"/>
      <c r="H50" s="8"/>
      <c r="I50" s="8"/>
      <c r="J50" s="10"/>
      <c r="K50" s="8"/>
      <c r="L50" s="6"/>
      <c r="M50" s="6"/>
      <c r="N50" s="6"/>
    </row>
    <row r="51" spans="6:14" x14ac:dyDescent="0.35">
      <c r="F51" s="8"/>
      <c r="G51" s="8"/>
      <c r="H51" s="8"/>
      <c r="I51" s="8"/>
      <c r="J51" s="10"/>
      <c r="K51" s="8"/>
      <c r="L51" s="6"/>
      <c r="M51" s="6"/>
      <c r="N51" s="6"/>
    </row>
    <row r="52" spans="6:14" x14ac:dyDescent="0.35">
      <c r="F52" s="8"/>
      <c r="G52" s="8"/>
      <c r="H52" s="8"/>
      <c r="I52" s="8"/>
      <c r="J52" s="10"/>
      <c r="K52" s="8"/>
      <c r="L52" s="6"/>
      <c r="M52" s="6"/>
      <c r="N52" s="6"/>
    </row>
    <row r="53" spans="6:14" x14ac:dyDescent="0.35">
      <c r="F53" s="8"/>
      <c r="G53" s="8"/>
      <c r="H53" s="8"/>
      <c r="I53" s="8"/>
      <c r="J53" s="10"/>
      <c r="K53" s="8"/>
      <c r="L53" s="6"/>
      <c r="M53" s="6"/>
      <c r="N53" s="6"/>
    </row>
    <row r="54" spans="6:14" x14ac:dyDescent="0.35">
      <c r="F54" s="8"/>
      <c r="G54" s="8"/>
      <c r="H54" s="8"/>
      <c r="I54" s="8"/>
      <c r="J54" s="10"/>
      <c r="K54" s="8"/>
      <c r="L54" s="6"/>
      <c r="M54" s="6"/>
      <c r="N54" s="6"/>
    </row>
    <row r="55" spans="6:14" x14ac:dyDescent="0.35">
      <c r="F55" s="8"/>
      <c r="G55" s="8"/>
      <c r="H55" s="8"/>
      <c r="I55" s="8"/>
      <c r="J55" s="10"/>
      <c r="K55" s="8"/>
      <c r="L55" s="6"/>
      <c r="M55" s="6"/>
      <c r="N55" s="6"/>
    </row>
    <row r="56" spans="6:14" x14ac:dyDescent="0.35">
      <c r="F56" s="8"/>
      <c r="G56" s="8"/>
      <c r="H56" s="8"/>
      <c r="I56" s="8"/>
      <c r="J56" s="10"/>
      <c r="K56" s="8"/>
      <c r="L56" s="6"/>
      <c r="M56" s="6"/>
      <c r="N56" s="6"/>
    </row>
    <row r="57" spans="6:14" x14ac:dyDescent="0.35">
      <c r="F57" s="8"/>
      <c r="G57" s="8"/>
      <c r="H57" s="8"/>
      <c r="I57" s="8"/>
      <c r="J57" s="10"/>
      <c r="K57" s="8"/>
      <c r="L57" s="6"/>
      <c r="M57" s="6"/>
      <c r="N57" s="6"/>
    </row>
    <row r="58" spans="6:14" x14ac:dyDescent="0.35">
      <c r="F58" s="8"/>
      <c r="G58" s="8"/>
      <c r="H58" s="8"/>
      <c r="I58" s="8"/>
      <c r="J58" s="10"/>
      <c r="K58" s="8"/>
      <c r="L58" s="6"/>
      <c r="M58" s="6"/>
      <c r="N58" s="6"/>
    </row>
    <row r="59" spans="6:14" x14ac:dyDescent="0.35">
      <c r="F59" s="8"/>
      <c r="G59" s="8"/>
      <c r="H59" s="8"/>
      <c r="I59" s="8"/>
      <c r="J59" s="10"/>
      <c r="K59" s="8"/>
      <c r="L59" s="6"/>
      <c r="M59" s="6"/>
      <c r="N59" s="6"/>
    </row>
    <row r="60" spans="6:14" x14ac:dyDescent="0.35">
      <c r="F60" s="8"/>
      <c r="G60" s="8"/>
      <c r="H60" s="8"/>
      <c r="I60" s="8"/>
      <c r="J60" s="10"/>
      <c r="K60" s="8"/>
      <c r="L60" s="6"/>
      <c r="M60" s="6"/>
      <c r="N60" s="6"/>
    </row>
    <row r="61" spans="6:14" x14ac:dyDescent="0.35">
      <c r="F61" s="8"/>
      <c r="G61" s="8"/>
      <c r="H61" s="8"/>
      <c r="I61" s="8"/>
      <c r="J61" s="10"/>
      <c r="K61" s="8"/>
      <c r="L61" s="6"/>
      <c r="M61" s="6"/>
      <c r="N61" s="6"/>
    </row>
    <row r="62" spans="6:14" x14ac:dyDescent="0.35">
      <c r="F62" s="8"/>
      <c r="G62" s="8"/>
      <c r="H62" s="8"/>
      <c r="I62" s="8"/>
      <c r="J62" s="10"/>
      <c r="K62" s="8"/>
      <c r="L62" s="6"/>
      <c r="M62" s="6"/>
      <c r="N62" s="6"/>
    </row>
    <row r="63" spans="6:14" x14ac:dyDescent="0.35">
      <c r="F63" s="8"/>
      <c r="G63" s="8"/>
      <c r="H63" s="8"/>
      <c r="I63" s="8"/>
      <c r="J63" s="10"/>
      <c r="K63" s="8"/>
      <c r="L63" s="6"/>
      <c r="M63" s="6"/>
      <c r="N63" s="6"/>
    </row>
    <row r="64" spans="6:14" x14ac:dyDescent="0.35">
      <c r="F64" s="8"/>
      <c r="G64" s="8"/>
      <c r="H64" s="8"/>
      <c r="I64" s="8"/>
      <c r="J64" s="10"/>
      <c r="K64" s="8"/>
      <c r="L64" s="6"/>
      <c r="M64" s="6"/>
      <c r="N64" s="6"/>
    </row>
    <row r="65" spans="6:14" x14ac:dyDescent="0.35">
      <c r="F65" s="8"/>
      <c r="G65" s="8"/>
      <c r="H65" s="8"/>
      <c r="I65" s="8"/>
      <c r="J65" s="9"/>
      <c r="K65" s="8"/>
      <c r="L65" s="11"/>
      <c r="M65" s="6"/>
      <c r="N65" s="6"/>
    </row>
    <row r="66" spans="6:14" x14ac:dyDescent="0.35">
      <c r="F66" s="8"/>
      <c r="G66" s="8"/>
      <c r="H66" s="8"/>
      <c r="I66" s="8"/>
      <c r="J66" s="10"/>
      <c r="K66" s="8"/>
      <c r="L66" s="6"/>
      <c r="M66" s="6"/>
      <c r="N66" s="6"/>
    </row>
    <row r="67" spans="6:14" x14ac:dyDescent="0.35">
      <c r="F67" s="8"/>
      <c r="G67" s="8"/>
      <c r="H67" s="8"/>
      <c r="I67" s="8"/>
      <c r="J67" s="10"/>
      <c r="K67" s="8"/>
      <c r="L67" s="6"/>
      <c r="M67" s="6"/>
      <c r="N67" s="6"/>
    </row>
    <row r="68" spans="6:14" x14ac:dyDescent="0.35">
      <c r="F68" s="8"/>
      <c r="G68" s="8"/>
      <c r="H68" s="8"/>
      <c r="I68" s="8"/>
      <c r="J68" s="10"/>
      <c r="K68" s="8"/>
      <c r="L68" s="6"/>
      <c r="M68" s="6"/>
      <c r="N68" s="6"/>
    </row>
    <row r="69" spans="6:14" x14ac:dyDescent="0.35">
      <c r="F69" s="8"/>
      <c r="G69" s="8"/>
      <c r="H69" s="8"/>
      <c r="I69" s="8"/>
      <c r="J69" s="10"/>
      <c r="K69" s="8"/>
      <c r="L69" s="6"/>
      <c r="M69" s="6"/>
      <c r="N69" s="6"/>
    </row>
    <row r="70" spans="6:14" x14ac:dyDescent="0.35">
      <c r="F70" s="8"/>
      <c r="G70" s="8"/>
      <c r="H70" s="8"/>
      <c r="I70" s="8"/>
      <c r="J70" s="10"/>
      <c r="K70" s="8"/>
      <c r="L70" s="6"/>
      <c r="M70" s="6"/>
      <c r="N70" s="6"/>
    </row>
    <row r="71" spans="6:14" x14ac:dyDescent="0.35">
      <c r="F71" s="8"/>
      <c r="G71" s="8"/>
      <c r="H71" s="8"/>
      <c r="I71" s="8"/>
      <c r="J71" s="10"/>
      <c r="K71" s="8"/>
      <c r="L71" s="6"/>
      <c r="M71" s="6"/>
      <c r="N71" s="6"/>
    </row>
    <row r="72" spans="6:14" x14ac:dyDescent="0.35">
      <c r="F72" s="8"/>
      <c r="G72" s="8"/>
      <c r="H72" s="8"/>
      <c r="I72" s="8"/>
      <c r="J72" s="10"/>
      <c r="K72" s="8"/>
      <c r="L72" s="6"/>
      <c r="M72" s="6"/>
      <c r="N72" s="6"/>
    </row>
    <row r="73" spans="6:14" x14ac:dyDescent="0.35">
      <c r="F73" s="5"/>
      <c r="G73" s="5"/>
      <c r="H73" s="5"/>
      <c r="I73" s="5"/>
      <c r="J73" s="5"/>
      <c r="K73" s="5"/>
      <c r="L73" s="6"/>
      <c r="M73" s="6"/>
      <c r="N73" s="6"/>
    </row>
    <row r="74" spans="6:14" x14ac:dyDescent="0.35">
      <c r="F74" s="5"/>
      <c r="G74" s="5"/>
      <c r="H74" s="5"/>
      <c r="I74" s="5"/>
      <c r="J74" s="5"/>
      <c r="K74" s="5"/>
      <c r="L74" s="6"/>
      <c r="M74" s="6"/>
      <c r="N74" s="6"/>
    </row>
    <row r="75" spans="6:14" x14ac:dyDescent="0.35">
      <c r="F75" s="5"/>
      <c r="G75" s="5"/>
      <c r="H75" s="5"/>
      <c r="I75" s="5"/>
      <c r="J75" s="5"/>
      <c r="K75" s="5"/>
      <c r="L75" s="6"/>
      <c r="M75" s="6"/>
      <c r="N75" s="6"/>
    </row>
    <row r="76" spans="6:14" x14ac:dyDescent="0.35">
      <c r="F76" s="5"/>
      <c r="G76" s="5"/>
      <c r="H76" s="5"/>
      <c r="I76" s="5"/>
      <c r="J76" s="5"/>
      <c r="K76" s="5"/>
      <c r="L76" s="6"/>
      <c r="M76" s="6"/>
      <c r="N76" s="6"/>
    </row>
  </sheetData>
  <mergeCells count="1">
    <mergeCell ref="F2:K2"/>
  </mergeCells>
  <pageMargins left="0.23622047244094491" right="0.23622047244094491" top="0.74803149606299213" bottom="0.74803149606299213" header="0.31496062992125984" footer="0.31496062992125984"/>
  <pageSetup paperSize="9" scale="50" fitToWidth="2" fitToHeight="2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шлам по ГС</vt:lpstr>
      <vt:lpstr>шлам по ГС с пилотом</vt:lpstr>
      <vt:lpstr>'шлам по ГС'!Область_печати</vt:lpstr>
    </vt:vector>
  </TitlesOfParts>
  <Company>Kontora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Prokofiev</dc:creator>
  <cp:lastModifiedBy>Хамидулин Саяр Гаярович</cp:lastModifiedBy>
  <cp:lastPrinted>2019-02-08T12:28:00Z</cp:lastPrinted>
  <dcterms:created xsi:type="dcterms:W3CDTF">2008-04-05T03:12:53Z</dcterms:created>
  <dcterms:modified xsi:type="dcterms:W3CDTF">2024-12-23T10:41:07Z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